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ME" sheetId="1" r:id="rId1"/>
    <sheet name="Bill" sheetId="2" r:id="rId2"/>
    <sheet name="Inputs" sheetId="3" r:id="rId3"/>
    <sheet name="Fuel" sheetId="4" r:id="rId4"/>
    <sheet name="Sources" sheetId="5" r:id="rId5"/>
  </sheets>
  <calcPr calcId="124519" fullCalcOnLoad="1"/>
</workbook>
</file>

<file path=xl/comments1.xml><?xml version="1.0" encoding="utf-8"?>
<comments xmlns="http://schemas.openxmlformats.org/spreadsheetml/2006/main">
  <authors>
    <author/>
  </authors>
  <commentList>
    <comment ref="A20" authorId="0">
      <text>
        <r>
          <rPr>
            <sz val="8"/>
            <color indexed="81"/>
            <rFont val="Tahoma"/>
            <family val="2"/>
          </rPr>
          <t>Total in $B x 1000 / households in millions = $ per household. National totals divided by households (same convention as Brown and Moody's).</t>
        </r>
      </text>
    </comment>
  </commentList>
</comments>
</file>

<file path=xl/sharedStrings.xml><?xml version="1.0" encoding="utf-8"?>
<sst xmlns="http://schemas.openxmlformats.org/spreadsheetml/2006/main" count="301" uniqueCount="251">
  <si>
    <t>THE RECEIPT · What the Iran war has cost the United States · The Bigger Board</t>
  </si>
  <si>
    <t>Period: war start Feb 28, 2026 through Oct 26, 2026 (last weekly EIA fuel prices before the video's release on Nov 1, 2026). Data as of October 30, 2026. Workbook version 2.</t>
  </si>
  <si>
    <t>All amounts in billions of U.S. dollars ($B) unless a row says otherwise.</t>
  </si>
  <si>
    <t>How to read this workbook</t>
  </si>
  <si>
    <t>Bill: the receipt. Every line in three cases (Low = cautious, Central = the number used in the video, High). All values are live formulas.</t>
  </si>
  <si>
    <t>Inputs: every assumption and published figure that feeds the Bill, with its source. Change a blue cell and everything recalculates.</t>
  </si>
  <si>
    <t>Fuel: the weekly calculation for gasoline and diesel (35 EIA weekly readings, 241 days).</t>
  </si>
  <si>
    <t>Sources: numbered source list; the numbers in [brackets] refer to it (same numbering as the web page).</t>
  </si>
  <si>
    <t>Colors</t>
  </si>
  <si>
    <t>Blue text = hard-coded input from a source. Yellow fill = key assumption. Black = formula. Green = link to another sheet.</t>
  </si>
  <si>
    <t>Labels</t>
  </si>
  <si>
    <t>OBSERVED = figure published by an official source. ANALYSIS = our calculation from published data, or the midpoint of a published estimate range. SCENARIO = forward-looking or contested estimate.</t>
  </si>
  <si>
    <t>Important</t>
  </si>
  <si>
    <t>CBO notes that its own category estimates are “not directly comparable or summable.” The total on this receipt is our own analysis: we added the lines ourselves, and every step is shown here.</t>
  </si>
  <si>
    <t>Line items are rounded; rounded lines may not add up exactly to the rounded total (45.2 + 6.7 + 105.3 + 51.8 + 30.9 = 239.9; unrounded total 239.8).</t>
  </si>
  <si>
    <t>Per-household figures divide national totals by 134.79 million U.S. households. They are averages, not a bill any single household received.</t>
  </si>
  <si>
    <t>Found an error? Email info@thebiggerboard.com with the line, the number and your source.</t>
  </si>
  <si>
    <t>THE RECEIPT · Iran war bill for the United States · Feb 28 – Oct 26, 2026 ($B) · v2, data as of October 30, 2026</t>
  </si>
  <si>
    <t>Line item</t>
  </si>
  <si>
    <t>Low</t>
  </si>
  <si>
    <t>Central</t>
  </si>
  <si>
    <t>High</t>
  </si>
  <si>
    <t>Label</t>
  </si>
  <si>
    <t>What it is / is not</t>
  </si>
  <si>
    <t>Sources</t>
  </si>
  <si>
    <t>A · Already paid</t>
  </si>
  <si>
    <t>Military operations (CBO to Aug 1 + monthly rate)</t>
  </si>
  <si>
    <t>OBSERVED + ANALYSIS</t>
  </si>
  <si>
    <t>CBO estimate through Aug 1 (munitions, extra flying hours, fuel, other operations, equipment lost) plus CBO's $2–3B per month for the 86 days to Oct 26. Cross-check: Pentagon/CENTCOM's own figure $47.1B through Oct 16 (row 32).</t>
  </si>
  <si>
    <t>[1][2]</t>
  </si>
  <si>
    <t>Damage to U.S. bases</t>
  </si>
  <si>
    <t>ANALYSIS</t>
  </si>
  <si>
    <t>CSIS estimate range; CBO could not price it (no DoD data). Host countries may pay part of the repairs.</t>
  </si>
  <si>
    <t>[3][1]</t>
  </si>
  <si>
    <t>Gasoline: extra paid at the pump</t>
  </si>
  <si>
    <t>EIA weekly prices minus pre-war price, times EIA consumption. Paid by households and businesses.</t>
  </si>
  <si>
    <t>[5][7]</t>
  </si>
  <si>
    <t>Diesel: extra paid by trucks, farms, freight</t>
  </si>
  <si>
    <t>Same method, share of distillate volume. Passed on through freight and goods prices.</t>
  </si>
  <si>
    <t>[6][7][8]</t>
  </si>
  <si>
    <t>Subtotal already paid</t>
  </si>
  <si>
    <t>B · Still to come</t>
  </si>
  <si>
    <t>Veterans' care for the wounded (30 yrs)</t>
  </si>
  <si>
    <t>SCENARIO</t>
  </si>
  <si>
    <t>CSIS: about $0.4B a year, about $12B over 30 years; most of it still to come. Nominal, not discounted.</t>
  </si>
  <si>
    <t>[3]</t>
  </si>
  <si>
    <t>Interest on war borrowing (10 yrs)</t>
  </si>
  <si>
    <t>Taxpayers for Common Sense range; central = midpoint.</t>
  </si>
  <si>
    <t>[4]</t>
  </si>
  <si>
    <t>Subtotal still to come</t>
  </si>
  <si>
    <t>C · Contested</t>
  </si>
  <si>
    <t>Higher interest rates for households (Moody's)</t>
  </si>
  <si>
    <t>The Fed did not name the war as a reason for its Sep 16 hike; counted in High only.</t>
  </si>
  <si>
    <t>[13][15]</t>
  </si>
  <si>
    <t>TOTAL BILL</t>
  </si>
  <si>
    <t>Per U.S. household ($)</t>
  </si>
  <si>
    <t>Already paid, per household ($)</t>
  </si>
  <si>
    <t>Current weekly run-rate ($B per week, central)</t>
  </si>
  <si>
    <t>Fuel at latest EIA week (Oct 26)</t>
  </si>
  <si>
    <t>Military (monthly rate / 4.345 weeks)</t>
  </si>
  <si>
    <t>Bill grows per week</t>
  </si>
  <si>
    <t>Per household per week ($)</t>
  </si>
  <si>
    <t>NOT on this receipt (no defensible number, or not a U.S. cost): jet fuel and airfares; heating oil (the winter is still ahead); food prices beyond the diesel line; lost economic output (GDP); stock-market swings (recovered by Apr 13); the $300B Iran reconstruction plan in the collapsed Islamabad Memorandum (no U.S. payer named); the $87.6B supplemental request (a request, not passed, and it overlaps the military line); Gulf allies' losses; profits of oil, shipping and defense companies (where part of the money went, not an extra cost); human lives.</t>
  </si>
  <si>
    <t>Cross-check: Pentagon/CENTCOM direct cost to Oct 16</t>
  </si>
  <si>
    <t>Cross-check: Brown University fuel tracker (gas + diesel)</t>
  </si>
  <si>
    <t>Our fuel central (gas + diesel)</t>
  </si>
  <si>
    <t>Difference to Brown</t>
  </si>
  <si>
    <t>Total as multiple of CBO $38.1B</t>
  </si>
  <si>
    <t>Total as multiple of Pentagon's own $47.1B</t>
  </si>
  <si>
    <t>Cross-check: Moody's total (Oct 12), not added</t>
  </si>
  <si>
    <t>Line items are rounded; rounded lines may not add up exactly to the total.</t>
  </si>
  <si>
    <t>The Bigger Board · Iran war bill · Inputs (blue = hard-coded input, yellow = key assumption)</t>
  </si>
  <si>
    <t>Parameter</t>
  </si>
  <si>
    <t>Unit</t>
  </si>
  <si>
    <t>Source</t>
  </si>
  <si>
    <t>Note</t>
  </si>
  <si>
    <t>US households</t>
  </si>
  <si>
    <t>million</t>
  </si>
  <si>
    <t>Census CPS ASEC 2025 via FRED, series TTLHH (134,790 thousand)</t>
  </si>
  <si>
    <t>[10]</t>
  </si>
  <si>
    <t>Gallons per barrel</t>
  </si>
  <si>
    <t>gal</t>
  </si>
  <si>
    <t>Definition</t>
  </si>
  <si>
    <t>Gasoline counterfactual price</t>
  </si>
  <si>
    <t>$/gal</t>
  </si>
  <si>
    <t>EIA weekly regular gasoline, week of 2026-02-23 = 2.937 (central)</t>
  </si>
  <si>
    <t>Low: assumes the pre-war run-up continued (assumption). High: Jan 5–Feb 23 average (computed from EIA).</t>
  </si>
  <si>
    <t>[5]</t>
  </si>
  <si>
    <t>Diesel counterfactual price</t>
  </si>
  <si>
    <t>EIA weekly on-highway diesel, week of 2026-02-23 = 3.809 (central)</t>
  </si>
  <si>
    <t>Low: week of 2026-03-02 (already partly war-affected). High: Jan–Feb average (computed).</t>
  </si>
  <si>
    <t>[6]</t>
  </si>
  <si>
    <t>Diesel share of total distillate</t>
  </si>
  <si>
    <t>share</t>
  </si>
  <si>
    <t>EIA Energy Explained: transportation about 75% of distillate (2022); older EIA note about 60% on-highway (2013)</t>
  </si>
  <si>
    <t>High counts all distillate (heating oil, rail, marine).</t>
  </si>
  <si>
    <t>[8][9]</t>
  </si>
  <si>
    <t>Demand reduction vs EIA volume</t>
  </si>
  <si>
    <t>Assumption (low case only)</t>
  </si>
  <si>
    <t>EIA volumes already reflect actual demand; the low case trims a further 3%.</t>
  </si>
  <si>
    <t>CBO direct military cost through 2026-08-01</t>
  </si>
  <si>
    <t>$B</t>
  </si>
  <si>
    <t>CBO publication 62756 (Sep 15, 2026)</t>
  </si>
  <si>
    <t>Munitions 21.7, extra flying hours 10.4, fuel 2.7, other operations 1.5, equipment lost 1.9 (CBO, rounded). Excludes base damage, veterans, interest.</t>
  </si>
  <si>
    <t>[1]</t>
  </si>
  <si>
    <t>Ongoing military cost after Aug 1</t>
  </si>
  <si>
    <t>$B/month</t>
  </si>
  <si>
    <t>CBO: about $2B a month at low intensity, $3B at the July level</t>
  </si>
  <si>
    <t>Central = midpoint (assumption).</t>
  </si>
  <si>
    <t>Months from 2026-08-01 to 2026-10-26</t>
  </si>
  <si>
    <t>months</t>
  </si>
  <si>
    <t>86 days / average month length (30.4375 days)</t>
  </si>
  <si>
    <t>Same end date as the fuel series.</t>
  </si>
  <si>
    <t>Base damage (not in CBO)</t>
  </si>
  <si>
    <t>CSIS estimate $4.0–9.4B</t>
  </si>
  <si>
    <t>Veterans' care for the wounded, 30 years</t>
  </si>
  <si>
    <t>CSIS (Jun 23, 2026): about $0.4B a year, about $12B over 30 years</t>
  </si>
  <si>
    <t>No official projection exists; the CSIS figure is the only one used.</t>
  </si>
  <si>
    <t>Interest on war borrowing, 10 years</t>
  </si>
  <si>
    <t>Taxpayers for Common Sense: $10.9–26.9B over 10 years</t>
  </si>
  <si>
    <t>Rate-driven household cost (contested)</t>
  </si>
  <si>
    <t>$/household</t>
  </si>
  <si>
    <t>Moody's/Zandi, Oct 12, via media ($540 for rates; some reports give $560 or $360)</t>
  </si>
  <si>
    <t>The Fed did not name the war for its Sep 16 hike; counted in High only, labelled SCENARIO.</t>
  </si>
  <si>
    <t>[13][14]</t>
  </si>
  <si>
    <t>Cross-check: Pentagon/CENTCOM direct cost through 2026-10-16</t>
  </si>
  <si>
    <t>CENTCOM estimate provided to lawmakers, via CBS News, Oct 27, 2026 (excludes base damage)</t>
  </si>
  <si>
    <t>Not added; used to sanity-check the military line.</t>
  </si>
  <si>
    <t>[2]</t>
  </si>
  <si>
    <t>Cross-check: Brown University fuel tracker (Oct 30)</t>
  </si>
  <si>
    <t>Brown tracker as of Oct 30: $81.50B gasoline + $66.26B diesel (runs 4 days past our end date)</t>
  </si>
  <si>
    <t>Not added.</t>
  </si>
  <si>
    <t>[11]</t>
  </si>
  <si>
    <t>Cross-check: Moody's total (Oct 12)</t>
  </si>
  <si>
    <t>Moody's/Zandi via media: about $265B, nearly $2,000 per household</t>
  </si>
  <si>
    <t>Contains fuel, rates and military; never add to our lines.</t>
  </si>
  <si>
    <t>[13]</t>
  </si>
  <si>
    <t>EIA STEO October 2026, Table 4a (million barrels per day)</t>
  </si>
  <si>
    <t>Quarter</t>
  </si>
  <si>
    <t>Motor gasoline</t>
  </si>
  <si>
    <t>Total distillate</t>
  </si>
  <si>
    <t>Q1</t>
  </si>
  <si>
    <t>Q2</t>
  </si>
  <si>
    <t>Q3</t>
  </si>
  <si>
    <t>Q4</t>
  </si>
  <si>
    <t>Q3/Q4 partly forecast. Source [7]: https://www.eia.gov/outlooks/steo/pdf/steo_full.pdf</t>
  </si>
  <si>
    <t>Extra spend on gasoline and diesel vs. pre-war price, per EIA week ($B). Each Monday price covers the 7 days ending that Monday; the first reading covers Feb 28–Mar 2 (3 days).</t>
  </si>
  <si>
    <t>Week (Mon)</t>
  </si>
  <si>
    <t>Gas $/gal</t>
  </si>
  <si>
    <t>Diesel $/gal</t>
  </si>
  <si>
    <t>Days</t>
  </si>
  <si>
    <t>Gas mb/d</t>
  </si>
  <si>
    <t>Distillate mb/d</t>
  </si>
  <si>
    <t>Gas Low</t>
  </si>
  <si>
    <t>Gas Central</t>
  </si>
  <si>
    <t>Gas High</t>
  </si>
  <si>
    <t>Diesel Low</t>
  </si>
  <si>
    <t>Diesel Central</t>
  </si>
  <si>
    <t>Diesel High</t>
  </si>
  <si>
    <t>Total</t>
  </si>
  <si>
    <t>Units: (price delta $/gal) x (million b/d) x 42 gal x days / 1000 = $B. Prices: EIA weekly retail [5][6]. Volumes: EIA STEO [7].</t>
  </si>
  <si>
    <t>No.</t>
  </si>
  <si>
    <t>Link</t>
  </si>
  <si>
    <t>Accessed</t>
  </si>
  <si>
    <t>Used for</t>
  </si>
  <si>
    <t>Congressional Budget Office, “Estimating the Cost of Combat Operations Against Iran,” letter to Rep. Brendan F. Boyle, Sep 15, 2026 (publication 62756; PDF 19 pages).</t>
  </si>
  <si>
    <t>https://www.cbo.gov/publication/62756</t>
  </si>
  <si>
    <t>Oct 19, 2026</t>
  </si>
  <si>
    <t>$38.1B through Aug 1 and its components; $2–3B per month afterwards; base damage not priced; DoD did not respond; “not directly comparable or summable”; $87.6B supplemental, about $42B war-related</t>
  </si>
  <si>
    <t>CBS News, report on the CENTCOM cost estimate provided to lawmakers ($47.1B as of mid-October), Oct 27, 2026.</t>
  </si>
  <si>
    <t>https://www.cbsnews.com/news/iran-war-cost-centcom-47-billion/</t>
  </si>
  <si>
    <t>Oct 30, 2026</t>
  </si>
  <si>
    <t>Pentagon cross-check ($47.1B through Oct 16, excludes base damage); supplemental not passed</t>
  </si>
  <si>
    <t>CSIS (Mark F. Cancian, Chris H. Park), “The War May Be Ending. What Did Epic Fury Cost?”, Jun 23, 2026.</t>
  </si>
  <si>
    <t>https://www.csis.org/analysis/war-may-be-ending-what-did-epic-fury-cost</t>
  </si>
  <si>
    <t>Base damage $4.0–9.4B; veterans' care about $0.4B a year, about $12B over 30 years; Iranian attacks down 80–90% in the later phase</t>
  </si>
  <si>
    <t>Taxpayers for Common Sense, analysis of the direct and indirect taxpayer costs of the Iran war, 2026.</t>
  </si>
  <si>
    <t>https://www.taxpayer.net/national-security/direct-indirect-taxpayer-costs-of-the-iran-war/</t>
  </si>
  <si>
    <t>Extra interest $10.9–26.9B over 10 years</t>
  </si>
  <si>
    <t>U.S. Energy Information Administration, Weekly U.S. Regular All Formulations Retail Gasoline Prices (EMM_EPMR_PTE_NUS_DPG).</t>
  </si>
  <si>
    <t>https://www.eia.gov/dnav/pet/hist/LeafHandler.ashx?n=pet&amp;s=emm_epmr_pte_nus_dpg&amp;f=w</t>
  </si>
  <si>
    <t>Weekly gasoline prices Jan 5 – Oct 26, 2026</t>
  </si>
  <si>
    <t>U.S. Energy Information Administration, Weekly U.S. No 2 Diesel Retail Prices (EMD_EPD2D_PTE_NUS_DPG).</t>
  </si>
  <si>
    <t>https://www.eia.gov/dnav/pet/hist/LeafHandler.ashx?n=pet&amp;s=emd_epd2d_pte_nus_dpg&amp;f=w</t>
  </si>
  <si>
    <t>Weekly diesel prices Jan 5 – Oct 26, 2026</t>
  </si>
  <si>
    <t>U.S. Energy Information Administration, Short-Term Energy Outlook, October 2026, Table 4a.</t>
  </si>
  <si>
    <t>https://www.eia.gov/outlooks/steo/pdf/steo_full.pdf</t>
  </si>
  <si>
    <t>U.S. motor gasoline and distillate consumption by quarter (Q3/Q4 partly forecast)</t>
  </si>
  <si>
    <t>U.S. Energy Information Administration, Energy Explained: Use of diesel.</t>
  </si>
  <si>
    <t>https://www.eia.gov/energyexplained/diesel-fuel/use-of-diesel.php</t>
  </si>
  <si>
    <t>Transportation about 75% of U.S. distillate use (2022), central diesel share</t>
  </si>
  <si>
    <t>U.S. Energy Information Administration, This Week in Petroleum, Feb 27, 2013.</t>
  </si>
  <si>
    <t>https://www.eia.gov/oog/info/twip/twiparch/2013/130227/twipprint.html</t>
  </si>
  <si>
    <t>About 60% on-highway share of distillate (cautious case)</t>
  </si>
  <si>
    <t>U.S. Census Bureau, Current Population Survey (ASEC), Total Households (TTLHH), via FRED, Federal Reserve Bank of St. Louis.</t>
  </si>
  <si>
    <t>https://fred.stlouisfed.org/series/TTLHH</t>
  </si>
  <si>
    <t>134.79 million U.S. households (2025)</t>
  </si>
  <si>
    <t>Brown University, Watson School, Iran war fuel cost tracker.</t>
  </si>
  <si>
    <t>https://iranwarcost.watson.brown.edu/</t>
  </si>
  <si>
    <t>Cross-check: $81.50B gasoline + $66.26B diesel = $147.8B (as of Oct 30)</t>
  </si>
  <si>
    <t>Brown University Climate Solutions Lab, news release on U.S. energy costs of the Iran war, Sep 8, 2026.</t>
  </si>
  <si>
    <t>https://climate.watson.brown.edu/news/2026-09-08/us-energy-costs-iran-war</t>
  </si>
  <si>
    <t>Method of the Brown tracker (actual prices vs. a no-war counterfactual × EIA consumption)</t>
  </si>
  <si>
    <t>TFTC, report on the Moody's Analytics estimate by Mark Zandi (Oct 12, 2026): nearly $2,000 per household.</t>
  </si>
  <si>
    <t>https://www.tftc.io/iran-war-cost-2000-per-household-moodys-zandi</t>
  </si>
  <si>
    <t>Moody's: about $265B, nearly $2,000 per household; about $540 per household from higher interest rates</t>
  </si>
  <si>
    <t>Fortune, Moody's estimate of the Iran war's cost per U.S. household, Oct 17, 2026.</t>
  </si>
  <si>
    <t>https://fortune.com/2026/10/17/iran-war-cost-us-household-2000-energy-prices-interest-rates-military-spending/</t>
  </si>
  <si>
    <t>Breakdown of the Moody's estimate (energy, interest rates, military)</t>
  </si>
  <si>
    <t>Board of Governors of the Federal Reserve System, FOMC statement, Sep 16, 2026.</t>
  </si>
  <si>
    <t>https://www.federalreserve.gov/newsevents/pressreleases/monetary20260916a.htm</t>
  </si>
  <si>
    <t>Rate hike; statement cites “geopolitical developments”, not the war</t>
  </si>
  <si>
    <t>Federal Reserve, transcript of Chair Warsh's press conference, Sep 16, 2026.</t>
  </si>
  <si>
    <t>https://www.federalreserve.gov/mediacenter/files/FOMCpresconf20260916.pdf</t>
  </si>
  <si>
    <t>Geopolitics named as one of three reasons</t>
  </si>
  <si>
    <t>U.S. Energy Information Administration, STEO Perspectives: Winter Fuels Outlook, Oct 6, 2026.</t>
  </si>
  <si>
    <t>https://www.eia.gov/outlooks/steo/report/perspectives/2026/10-winterfuels/article.php</t>
  </si>
  <si>
    <t>Heating oil: about 3% of households (4.1 million, 3.4 million in the Northeast); prices +34%, spending +21% this winter; natural gas homes −9%</t>
  </si>
  <si>
    <t>U.S. Department of Defense, Defense Casualty Analysis System (DCAS), casualty summary (data extraction Oct 29, 2026).</t>
  </si>
  <si>
    <t>https://dcas.dmdc.osd.mil/dcas/api/report/casualtySummary/monthly/oefu</t>
  </si>
  <si>
    <t>23 U.S. service members died (11 combat, 12 non-combat), 865 wounded</t>
  </si>
  <si>
    <t>Al Jazeera, US-Israel attacks on Iran: death toll and injuries live tracker (last update Jun 10, 2026).</t>
  </si>
  <si>
    <t>https://www.aljazeera.com/news/2026/3/1/us-israel-attacks-on-iran-death-toll-and-injuries-live-tracker</t>
  </si>
  <si>
    <t>Iran's health ministry: at least 3,468 killed by June</t>
  </si>
  <si>
    <t>Council on Foreign Relations, article by CFR president Michael Froman on the Iran war, Oct 16, 2026.</t>
  </si>
  <si>
    <t>https://www.cfr.org/articles/the-victory-of-asymmetry-in-the-iran-war</t>
  </si>
  <si>
    <t>“fewer military capabilities and a more strained economy”; Hormuz as “a powerful economic weapon”</t>
  </si>
  <si>
    <t>The Times of Israel, report on a U.S. intelligence assessment that about half of Iran's missile launchers were still intact, Apr 3, 2026 (citing CNN).</t>
  </si>
  <si>
    <t>https://www.timesofisrael.com/us-intelligence-said-to-assess-around-half-of-irans-missile-launchers-still-intact/</t>
  </si>
  <si>
    <t>About half of the launchers reportedly intact (April)</t>
  </si>
  <si>
    <t>Alaska Public Media, report on President Trump's campaign rally in Alaska, Oct 16, 2026.</t>
  </si>
  <si>
    <t>https://alaskapublic.org/news/politics/elections/2026-10-16/in-alaska-campaign-rally-trump-and-sullivan-say-iran-war-is-worth-the-cost-to-americans</t>
  </si>
  <si>
    <t>“It's a small price to pay” quote</t>
  </si>
  <si>
    <t>The Washington Institute for Near East Policy (Robb, Ross), policy analysis on the economic cost of a nuclear Iran, Dec 17, 2012.</t>
  </si>
  <si>
    <t>https://www.washingtoninstitute.org/policy-analysis/economic-cost-nuclear-iran</t>
  </si>
  <si>
    <t>Scenario: U.S. GDP down up to about 2.5% after three years</t>
  </si>
  <si>
    <t>Institute for Science and International Security, analysis of the IAEA Iran verification and NPT safeguards reports, June 2026.</t>
  </si>
  <si>
    <t>https://www.isis-online.org/isis-reports/analysis-of-iaea-iran-verification-and-monitoring-and-npt-safeguards-reports-june-2026</t>
  </si>
  <si>
    <t>2025 strikes destroyed the centrifuge enrichment program (assessment)</t>
  </si>
  <si>
    <t>JNS, report on the IAEA's June 2026 Iran report, Jun 5, 2026.</t>
  </si>
  <si>
    <t>https://www.jns.org/news/world/iaea-cant-provide-any-information-on-tehrans-enriched-uranium</t>
  </si>
  <si>
    <t>IAEA June report: size, composition and whereabouts of the stockpile unknown</t>
  </si>
  <si>
    <t>La Voce di New York, report on IAEA Director General Grossi's briefing to the UN Security Council (Oct 27), Oct 29, 2026.</t>
  </si>
  <si>
    <t>https://lavocedinewyork.com/en/un/2026/10/29/iaea-cannot-verify-status-of-irans-440kg-uranium-stockpile/</t>
  </si>
  <si>
    <t>440 kg of 60% uranium still not verifiable; no access to the bombed sites</t>
  </si>
  <si>
    <t>Fortune, report with Linda Bilmes (Harvard) on the long-run cost of the Iran war, Apr 15, 2026.</t>
  </si>
  <si>
    <t>https://fortune.com/2026/04/15/how-much-will-iran-war-cost-taxpayers-us-1-trillion-dollars/</t>
  </si>
  <si>
    <t>Higher long-run estimate: more than $1 trillion eventually</t>
  </si>
  <si>
    <t>CBS News, text of the U.S.-Iran memorandum of understanding (readout), June 2026.</t>
  </si>
  <si>
    <t>https://www.cbsnews.com/news/us-iran-deal-memorandum-of-understanding-text/</t>
  </si>
  <si>
    <t>$300B reconstruction plan with no named payer</t>
  </si>
</sst>
</file>

<file path=xl/styles.xml><?xml version="1.0" encoding="utf-8"?>
<styleSheet xmlns="http://schemas.openxmlformats.org/spreadsheetml/2006/main">
  <numFmts count="7">
    <numFmt numFmtId="164" formatCode="#,##0.0;(#,##0.0);-"/>
    <numFmt numFmtId="165" formatCode="$#,##0;($#,##0);-"/>
    <numFmt numFmtId="166" formatCode="#,##0.00"/>
    <numFmt numFmtId="167" formatCode="0.0%"/>
    <numFmt numFmtId="168" formatCode="0.00&quot;x&quot;"/>
    <numFmt numFmtId="169" formatCode="#,##0.000"/>
    <numFmt numFmtId="170" formatCode="yyyy-mm-dd"/>
  </numFmts>
  <fonts count="9">
    <font>
      <sz val="11"/>
      <color theme="1"/>
      <name val="Calibri"/>
      <family val="2"/>
      <scheme val="minor"/>
    </font>
    <font>
      <b/>
      <sz val="12"/>
      <color theme="1"/>
      <name val="Arial"/>
      <family val="2"/>
    </font>
    <font>
      <sz val="10"/>
      <color theme="1"/>
      <name val="Arial"/>
      <family val="2"/>
    </font>
    <font>
      <b/>
      <sz val="10"/>
      <color theme="1"/>
      <name val="Arial"/>
      <family val="2"/>
    </font>
    <font>
      <b/>
      <sz val="10"/>
      <color rgb="FFF4F1EA"/>
      <name val="Arial"/>
      <family val="2"/>
    </font>
    <font>
      <sz val="10"/>
      <color rgb="FF008000"/>
      <name val="Arial"/>
      <family val="2"/>
    </font>
    <font>
      <sz val="10"/>
      <color rgb="FF0000FF"/>
      <name val="Arial"/>
      <family val="2"/>
    </font>
    <font>
      <u/>
      <sz val="10"/>
      <color rgb="FF0563C1"/>
      <name val="Arial"/>
      <family val="2"/>
    </font>
    <font>
      <sz val="8"/>
      <color indexed="81"/>
      <name val="Tahoma"/>
      <family val="2"/>
    </font>
  </fonts>
  <fills count="4">
    <fill>
      <patternFill patternType="none"/>
    </fill>
    <fill>
      <patternFill patternType="gray125"/>
    </fill>
    <fill>
      <patternFill patternType="solid">
        <fgColor rgb="FF111315"/>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xf numFmtId="0" fontId="4" fillId="2" borderId="0" xfId="0" applyFont="1" applyFill="1" applyAlignment="1">
      <alignment vertical="top" wrapText="1"/>
    </xf>
    <xf numFmtId="164" fontId="5" fillId="0" borderId="0" xfId="0" applyNumberFormat="1" applyFont="1" applyAlignment="1">
      <alignment vertical="top"/>
    </xf>
    <xf numFmtId="164" fontId="3" fillId="0" borderId="0" xfId="0" applyNumberFormat="1" applyFont="1" applyAlignment="1">
      <alignment vertical="top"/>
    </xf>
    <xf numFmtId="165" fontId="3" fillId="0" borderId="0" xfId="0" applyNumberFormat="1" applyFont="1" applyAlignment="1">
      <alignment vertical="top"/>
    </xf>
    <xf numFmtId="165" fontId="2" fillId="0" borderId="0" xfId="0" applyNumberFormat="1" applyFont="1" applyAlignment="1">
      <alignment vertical="top"/>
    </xf>
    <xf numFmtId="166" fontId="2" fillId="0" borderId="0" xfId="0" applyNumberFormat="1" applyFont="1" applyAlignment="1">
      <alignment vertical="top"/>
    </xf>
    <xf numFmtId="164" fontId="2" fillId="0" borderId="0" xfId="0" applyNumberFormat="1" applyFont="1" applyAlignment="1">
      <alignment vertical="top"/>
    </xf>
    <xf numFmtId="167" fontId="2" fillId="0" borderId="0" xfId="0" applyNumberFormat="1" applyFont="1" applyAlignment="1">
      <alignment vertical="top"/>
    </xf>
    <xf numFmtId="168" fontId="2" fillId="0" borderId="0" xfId="0" applyNumberFormat="1" applyFont="1" applyAlignment="1">
      <alignment vertical="top"/>
    </xf>
    <xf numFmtId="166" fontId="6" fillId="0" borderId="0" xfId="0" applyNumberFormat="1" applyFont="1" applyAlignment="1">
      <alignment vertical="top"/>
    </xf>
    <xf numFmtId="169" fontId="6" fillId="3" borderId="0" xfId="0" applyNumberFormat="1" applyFont="1" applyFill="1" applyAlignment="1">
      <alignment vertical="top"/>
    </xf>
    <xf numFmtId="167" fontId="6" fillId="3" borderId="0" xfId="0" applyNumberFormat="1" applyFont="1" applyFill="1" applyAlignment="1">
      <alignment vertical="top"/>
    </xf>
    <xf numFmtId="167" fontId="6" fillId="0" borderId="0" xfId="0" applyNumberFormat="1" applyFont="1" applyAlignment="1">
      <alignment vertical="top"/>
    </xf>
    <xf numFmtId="166" fontId="6" fillId="3" borderId="0" xfId="0" applyNumberFormat="1" applyFont="1" applyFill="1" applyAlignment="1">
      <alignment vertical="top"/>
    </xf>
    <xf numFmtId="170" fontId="6" fillId="0" borderId="0" xfId="0" applyNumberFormat="1" applyFont="1" applyAlignment="1">
      <alignment vertical="top"/>
    </xf>
    <xf numFmtId="169" fontId="6" fillId="0" borderId="0" xfId="0" applyNumberFormat="1" applyFont="1" applyAlignment="1">
      <alignment vertical="top"/>
    </xf>
    <xf numFmtId="1" fontId="6" fillId="0" borderId="0" xfId="0" applyNumberFormat="1" applyFont="1" applyAlignment="1">
      <alignment vertical="top"/>
    </xf>
    <xf numFmtId="166" fontId="5" fillId="0" borderId="0" xfId="0" applyNumberFormat="1" applyFont="1" applyAlignment="1">
      <alignment vertical="top"/>
    </xf>
    <xf numFmtId="0" fontId="7" fillId="0" borderId="0" xfId="0" applyFont="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cbo.gov/publication/62756" TargetMode="External"/><Relationship Id="rId2" Type="http://schemas.openxmlformats.org/officeDocument/2006/relationships/hyperlink" Target="https://www.cbsnews.com/news/iran-war-cost-centcom-47-billion/" TargetMode="External"/><Relationship Id="rId3" Type="http://schemas.openxmlformats.org/officeDocument/2006/relationships/hyperlink" Target="https://www.csis.org/analysis/war-may-be-ending-what-did-epic-fury-cost" TargetMode="External"/><Relationship Id="rId4" Type="http://schemas.openxmlformats.org/officeDocument/2006/relationships/hyperlink" Target="https://www.taxpayer.net/national-security/direct-indirect-taxpayer-costs-of-the-iran-war/" TargetMode="External"/><Relationship Id="rId5" Type="http://schemas.openxmlformats.org/officeDocument/2006/relationships/hyperlink" Target="https://www.eia.gov/dnav/pet/hist/LeafHandler.ashx?n=pet&amp;s=emm_epmr_pte_nus_dpg&amp;f=w" TargetMode="External"/><Relationship Id="rId6" Type="http://schemas.openxmlformats.org/officeDocument/2006/relationships/hyperlink" Target="https://www.eia.gov/dnav/pet/hist/LeafHandler.ashx?n=pet&amp;s=emd_epd2d_pte_nus_dpg&amp;f=w" TargetMode="External"/><Relationship Id="rId7" Type="http://schemas.openxmlformats.org/officeDocument/2006/relationships/hyperlink" Target="https://www.eia.gov/outlooks/steo/pdf/steo_full.pdf" TargetMode="External"/><Relationship Id="rId8" Type="http://schemas.openxmlformats.org/officeDocument/2006/relationships/hyperlink" Target="https://www.eia.gov/energyexplained/diesel-fuel/use-of-diesel.php" TargetMode="External"/><Relationship Id="rId9" Type="http://schemas.openxmlformats.org/officeDocument/2006/relationships/hyperlink" Target="https://www.eia.gov/oog/info/twip/twiparch/2013/130227/twipprint.html" TargetMode="External"/><Relationship Id="rId10" Type="http://schemas.openxmlformats.org/officeDocument/2006/relationships/hyperlink" Target="https://fred.stlouisfed.org/series/TTLHH" TargetMode="External"/><Relationship Id="rId11" Type="http://schemas.openxmlformats.org/officeDocument/2006/relationships/hyperlink" Target="https://iranwarcost.watson.brown.edu/" TargetMode="External"/><Relationship Id="rId12" Type="http://schemas.openxmlformats.org/officeDocument/2006/relationships/hyperlink" Target="https://climate.watson.brown.edu/news/2026-09-08/us-energy-costs-iran-war" TargetMode="External"/><Relationship Id="rId13" Type="http://schemas.openxmlformats.org/officeDocument/2006/relationships/hyperlink" Target="https://www.tftc.io/iran-war-cost-2000-per-household-moodys-zandi" TargetMode="External"/><Relationship Id="rId14" Type="http://schemas.openxmlformats.org/officeDocument/2006/relationships/hyperlink" Target="https://fortune.com/2026/10/17/iran-war-cost-us-household-2000-energy-prices-interest-rates-military-spending/" TargetMode="External"/><Relationship Id="rId15" Type="http://schemas.openxmlformats.org/officeDocument/2006/relationships/hyperlink" Target="https://www.federalreserve.gov/newsevents/pressreleases/monetary20260916a.htm" TargetMode="External"/><Relationship Id="rId16" Type="http://schemas.openxmlformats.org/officeDocument/2006/relationships/hyperlink" Target="https://www.federalreserve.gov/mediacenter/files/FOMCpresconf20260916.pdf" TargetMode="External"/><Relationship Id="rId17" Type="http://schemas.openxmlformats.org/officeDocument/2006/relationships/hyperlink" Target="https://www.eia.gov/outlooks/steo/report/perspectives/2026/10-winterfuels/article.php" TargetMode="External"/><Relationship Id="rId18" Type="http://schemas.openxmlformats.org/officeDocument/2006/relationships/hyperlink" Target="https://dcas.dmdc.osd.mil/dcas/api/report/casualtySummary/monthly/oefu" TargetMode="External"/><Relationship Id="rId19" Type="http://schemas.openxmlformats.org/officeDocument/2006/relationships/hyperlink" Target="https://www.aljazeera.com/news/2026/3/1/us-israel-attacks-on-iran-death-toll-and-injuries-live-tracker" TargetMode="External"/><Relationship Id="rId20" Type="http://schemas.openxmlformats.org/officeDocument/2006/relationships/hyperlink" Target="https://www.cfr.org/articles/the-victory-of-asymmetry-in-the-iran-war" TargetMode="External"/><Relationship Id="rId21" Type="http://schemas.openxmlformats.org/officeDocument/2006/relationships/hyperlink" Target="https://www.timesofisrael.com/us-intelligence-said-to-assess-around-half-of-irans-missile-launchers-still-intact/" TargetMode="External"/><Relationship Id="rId22" Type="http://schemas.openxmlformats.org/officeDocument/2006/relationships/hyperlink" Target="https://alaskapublic.org/news/politics/elections/2026-10-16/in-alaska-campaign-rally-trump-and-sullivan-say-iran-war-is-worth-the-cost-to-americans" TargetMode="External"/><Relationship Id="rId23" Type="http://schemas.openxmlformats.org/officeDocument/2006/relationships/hyperlink" Target="https://www.washingtoninstitute.org/policy-analysis/economic-cost-nuclear-iran" TargetMode="External"/><Relationship Id="rId24" Type="http://schemas.openxmlformats.org/officeDocument/2006/relationships/hyperlink" Target="https://www.isis-online.org/isis-reports/analysis-of-iaea-iran-verification-and-monitoring-and-npt-safeguards-reports-june-2026" TargetMode="External"/><Relationship Id="rId25" Type="http://schemas.openxmlformats.org/officeDocument/2006/relationships/hyperlink" Target="https://www.jns.org/news/world/iaea-cant-provide-any-information-on-tehrans-enriched-uranium" TargetMode="External"/><Relationship Id="rId26" Type="http://schemas.openxmlformats.org/officeDocument/2006/relationships/hyperlink" Target="https://lavocedinewyork.com/en/un/2026/10/29/iaea-cannot-verify-status-of-irans-440kg-uranium-stockpile/" TargetMode="External"/><Relationship Id="rId27" Type="http://schemas.openxmlformats.org/officeDocument/2006/relationships/hyperlink" Target="https://fortune.com/2026/04/15/how-much-will-iran-war-cost-taxpayers-us-1-trillion-dollars/" TargetMode="External"/><Relationship Id="rId28" Type="http://schemas.openxmlformats.org/officeDocument/2006/relationships/hyperlink" Target="https://www.cbsnews.com/news/us-iran-deal-memorandum-of-understanding-text/" TargetMode="External"/></Relationships>
</file>

<file path=xl/worksheets/sheet1.xml><?xml version="1.0" encoding="utf-8"?>
<worksheet xmlns="http://schemas.openxmlformats.org/spreadsheetml/2006/main" xmlns:r="http://schemas.openxmlformats.org/officeDocument/2006/relationships">
  <dimension ref="A1:A22"/>
  <sheetViews>
    <sheetView tabSelected="1" workbookViewId="0"/>
  </sheetViews>
  <sheetFormatPr defaultRowHeight="15"/>
  <cols>
    <col min="1" max="1" width="120.7109375" customWidth="1"/>
  </cols>
  <sheetData>
    <row r="1" spans="1:1">
      <c r="A1" s="1" t="s">
        <v>0</v>
      </c>
    </row>
    <row r="2" spans="1:1">
      <c r="A2" s="2" t="s">
        <v>1</v>
      </c>
    </row>
    <row r="3" spans="1:1">
      <c r="A3" s="2" t="s">
        <v>2</v>
      </c>
    </row>
    <row r="4" spans="1:1">
      <c r="A4" s="3"/>
    </row>
    <row r="5" spans="1:1">
      <c r="A5" s="4" t="s">
        <v>3</v>
      </c>
    </row>
    <row r="6" spans="1:1">
      <c r="A6" s="2" t="s">
        <v>4</v>
      </c>
    </row>
    <row r="7" spans="1:1">
      <c r="A7" s="2" t="s">
        <v>5</v>
      </c>
    </row>
    <row r="8" spans="1:1">
      <c r="A8" s="2" t="s">
        <v>6</v>
      </c>
    </row>
    <row r="9" spans="1:1">
      <c r="A9" s="2" t="s">
        <v>7</v>
      </c>
    </row>
    <row r="10" spans="1:1">
      <c r="A10" s="3"/>
    </row>
    <row r="11" spans="1:1">
      <c r="A11" s="4" t="s">
        <v>8</v>
      </c>
    </row>
    <row r="12" spans="1:1">
      <c r="A12" s="2" t="s">
        <v>9</v>
      </c>
    </row>
    <row r="13" spans="1:1">
      <c r="A13" s="3"/>
    </row>
    <row r="14" spans="1:1">
      <c r="A14" s="4" t="s">
        <v>10</v>
      </c>
    </row>
    <row r="15" spans="1:1">
      <c r="A15" s="2" t="s">
        <v>11</v>
      </c>
    </row>
    <row r="16" spans="1:1">
      <c r="A16" s="3"/>
    </row>
    <row r="17" spans="1:1">
      <c r="A17" s="4" t="s">
        <v>12</v>
      </c>
    </row>
    <row r="18" spans="1:1">
      <c r="A18" s="2" t="s">
        <v>13</v>
      </c>
    </row>
    <row r="19" spans="1:1">
      <c r="A19" s="2" t="s">
        <v>14</v>
      </c>
    </row>
    <row r="20" spans="1:1">
      <c r="A20" s="2" t="s">
        <v>15</v>
      </c>
    </row>
    <row r="21" spans="1:1">
      <c r="A21" s="3"/>
    </row>
    <row r="22" spans="1:1">
      <c r="A22" s="2"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0"/>
  <sheetViews>
    <sheetView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50.7109375" customWidth="1"/>
    <col min="2" max="4" width="13.7109375" customWidth="1"/>
    <col min="5" max="5" width="21.7109375" customWidth="1"/>
    <col min="6" max="6" width="78.7109375" customWidth="1"/>
    <col min="7" max="7" width="12.7109375" customWidth="1"/>
  </cols>
  <sheetData>
    <row r="1" spans="1:7">
      <c r="A1" s="4" t="s">
        <v>17</v>
      </c>
    </row>
    <row r="3" spans="1:7">
      <c r="A3" s="5" t="s">
        <v>18</v>
      </c>
      <c r="B3" s="5" t="s">
        <v>19</v>
      </c>
      <c r="C3" s="5" t="s">
        <v>20</v>
      </c>
      <c r="D3" s="5" t="s">
        <v>21</v>
      </c>
      <c r="E3" s="5" t="s">
        <v>22</v>
      </c>
      <c r="F3" s="5" t="s">
        <v>23</v>
      </c>
      <c r="G3" s="5" t="s">
        <v>24</v>
      </c>
    </row>
    <row r="4" spans="1:7">
      <c r="A4" s="4" t="s">
        <v>25</v>
      </c>
    </row>
    <row r="5" spans="1:7">
      <c r="A5" s="3" t="s">
        <v>26</v>
      </c>
      <c r="B5" s="6">
        <f>Inputs!C10+Inputs!C11*Inputs!C12</f>
        <v>43.7509240246</v>
      </c>
      <c r="C5" s="6">
        <f>Inputs!D10+Inputs!D11*Inputs!D12</f>
        <v>45.1636550308</v>
      </c>
      <c r="D5" s="6">
        <f>Inputs!E10+Inputs!E11*Inputs!E12</f>
        <v>46.576386037</v>
      </c>
      <c r="E5" s="3" t="s">
        <v>27</v>
      </c>
      <c r="F5" s="2" t="s">
        <v>28</v>
      </c>
      <c r="G5" s="3" t="s">
        <v>29</v>
      </c>
    </row>
    <row r="6" spans="1:7">
      <c r="A6" s="3" t="s">
        <v>30</v>
      </c>
      <c r="B6" s="6">
        <f>Inputs!C13</f>
        <v>4.0</v>
      </c>
      <c r="C6" s="6">
        <f>Inputs!D13</f>
        <v>6.7</v>
      </c>
      <c r="D6" s="6">
        <f>Inputs!E13</f>
        <v>9.4</v>
      </c>
      <c r="E6" s="3" t="s">
        <v>31</v>
      </c>
      <c r="F6" s="2" t="s">
        <v>32</v>
      </c>
      <c r="G6" s="3" t="s">
        <v>33</v>
      </c>
    </row>
    <row r="7" spans="1:7">
      <c r="A7" s="3" t="s">
        <v>34</v>
      </c>
      <c r="B7" s="6">
        <f>Fuel!H39</f>
        <v>88.0260249792</v>
      </c>
      <c r="C7" s="6">
        <f>Fuel!I39</f>
        <v>105.28527576</v>
      </c>
      <c r="D7" s="6">
        <f>Fuel!J39</f>
        <v>112.33071696</v>
      </c>
      <c r="E7" s="3" t="s">
        <v>31</v>
      </c>
      <c r="F7" s="2" t="s">
        <v>35</v>
      </c>
      <c r="G7" s="3" t="s">
        <v>36</v>
      </c>
    </row>
    <row r="8" spans="1:7">
      <c r="A8" s="3" t="s">
        <v>37</v>
      </c>
      <c r="B8" s="6">
        <f>Fuel!K39</f>
        <v>38.0730340393</v>
      </c>
      <c r="C8" s="6">
        <f>Fuel!L39</f>
        <v>51.764197275</v>
      </c>
      <c r="D8" s="6">
        <f>Fuel!M39</f>
        <v>76.67178876</v>
      </c>
      <c r="E8" s="3" t="s">
        <v>31</v>
      </c>
      <c r="F8" s="2" t="s">
        <v>38</v>
      </c>
      <c r="G8" s="3" t="s">
        <v>39</v>
      </c>
    </row>
    <row r="9" spans="1:7">
      <c r="A9" s="4" t="s">
        <v>40</v>
      </c>
      <c r="B9" s="7">
        <f>SUM(B5:B8)</f>
        <v>173.8499830432</v>
      </c>
      <c r="C9" s="7">
        <f>SUM(C5:C8)</f>
        <v>208.9131280658</v>
      </c>
      <c r="D9" s="7">
        <f>SUM(D5:D8)</f>
        <v>244.978891757</v>
      </c>
    </row>
    <row r="11" spans="1:7">
      <c r="A11" s="4" t="s">
        <v>41</v>
      </c>
    </row>
    <row r="12" spans="1:7">
      <c r="A12" s="3" t="s">
        <v>42</v>
      </c>
      <c r="B12" s="6">
        <f>Inputs!C14</f>
        <v>12</v>
      </c>
      <c r="C12" s="6">
        <f>Inputs!D14</f>
        <v>12</v>
      </c>
      <c r="D12" s="6">
        <f>Inputs!E14</f>
        <v>12</v>
      </c>
      <c r="E12" s="3" t="s">
        <v>43</v>
      </c>
      <c r="F12" s="2" t="s">
        <v>44</v>
      </c>
      <c r="G12" s="3" t="s">
        <v>45</v>
      </c>
    </row>
    <row r="13" spans="1:7">
      <c r="A13" s="3" t="s">
        <v>46</v>
      </c>
      <c r="B13" s="6">
        <f>Inputs!C15</f>
        <v>10.9</v>
      </c>
      <c r="C13" s="6">
        <f>Inputs!D15</f>
        <v>18.9</v>
      </c>
      <c r="D13" s="6">
        <f>Inputs!E15</f>
        <v>26.9</v>
      </c>
      <c r="E13" s="3" t="s">
        <v>43</v>
      </c>
      <c r="F13" s="2" t="s">
        <v>47</v>
      </c>
      <c r="G13" s="3" t="s">
        <v>48</v>
      </c>
    </row>
    <row r="14" spans="1:7">
      <c r="A14" s="4" t="s">
        <v>49</v>
      </c>
      <c r="B14" s="7">
        <f>SUM(B12:B13)</f>
        <v>22.9</v>
      </c>
      <c r="C14" s="7">
        <f>SUM(C12:C13)</f>
        <v>30.9</v>
      </c>
      <c r="D14" s="7">
        <f>SUM(D12:D13)</f>
        <v>38.9</v>
      </c>
    </row>
    <row r="16" spans="1:7">
      <c r="A16" s="4" t="s">
        <v>50</v>
      </c>
    </row>
    <row r="17" spans="1:7">
      <c r="A17" s="3" t="s">
        <v>51</v>
      </c>
      <c r="B17" s="6">
        <f>Inputs!C16*Inputs!C4/1000</f>
        <v>0.0</v>
      </c>
      <c r="C17" s="6">
        <f>Inputs!D16*Inputs!D4/1000</f>
        <v>0.0</v>
      </c>
      <c r="D17" s="6">
        <f>Inputs!E16*Inputs!E4/1000</f>
        <v>72.7866</v>
      </c>
      <c r="E17" s="3" t="s">
        <v>43</v>
      </c>
      <c r="F17" s="2" t="s">
        <v>52</v>
      </c>
      <c r="G17" s="3" t="s">
        <v>53</v>
      </c>
    </row>
    <row r="19" spans="1:7">
      <c r="A19" s="4" t="s">
        <v>54</v>
      </c>
      <c r="B19" s="7">
        <f>B9+B14+B17</f>
        <v>196.7499830432</v>
      </c>
      <c r="C19" s="7">
        <f>C9+C14+C17</f>
        <v>239.8131280658</v>
      </c>
      <c r="D19" s="7">
        <f>D9+D14+D17</f>
        <v>356.665491757</v>
      </c>
    </row>
    <row r="20" spans="1:7">
      <c r="A20" s="4" t="s">
        <v>55</v>
      </c>
      <c r="B20" s="8">
        <f>IFERROR(B19*1000/Inputs!C4,0)</f>
        <v>1459.677892</v>
      </c>
      <c r="C20" s="8">
        <f>IFERROR(C19*1000/Inputs!D4,0)</f>
        <v>1779.161125</v>
      </c>
      <c r="D20" s="8">
        <f>IFERROR(D19*1000/Inputs!E4,0)</f>
        <v>2646.082734</v>
      </c>
    </row>
    <row r="21" spans="1:7">
      <c r="A21" s="3" t="s">
        <v>56</v>
      </c>
      <c r="B21" s="9">
        <f>IFERROR(B9*1000/Inputs!C4,0)</f>
        <v>1289.783983</v>
      </c>
      <c r="C21" s="9">
        <f>IFERROR(C9*1000/Inputs!D4,0)</f>
        <v>1549.915632</v>
      </c>
      <c r="D21" s="9">
        <f>IFERROR(D9*1000/Inputs!E4,0)</f>
        <v>1817.485657</v>
      </c>
    </row>
    <row r="23" spans="1:7">
      <c r="A23" s="4" t="s">
        <v>57</v>
      </c>
    </row>
    <row r="24" spans="1:7">
      <c r="A24" t="s">
        <v>58</v>
      </c>
      <c r="C24" s="10">
        <f>Fuel!I38/Fuel!D38*7+Fuel!L38/Fuel!D38*7</f>
        <v>5.72396832</v>
      </c>
    </row>
    <row r="25" spans="1:7">
      <c r="A25" t="s">
        <v>59</v>
      </c>
      <c r="C25" s="10">
        <f>Inputs!D11/4.345</f>
        <v>0.5753739931</v>
      </c>
    </row>
    <row r="26" spans="1:7">
      <c r="A26" s="4" t="s">
        <v>60</v>
      </c>
      <c r="C26" s="10">
        <f>C24+C25</f>
        <v>6.2993423131</v>
      </c>
    </row>
    <row r="27" spans="1:7">
      <c r="A27" t="s">
        <v>61</v>
      </c>
      <c r="C27" s="10">
        <f>C26*1000/Inputs!D4</f>
        <v>46.7344930121</v>
      </c>
    </row>
    <row r="28" spans="1:7" ht="30" customHeight="1">
      <c r="A28" s="2" t="s">
        <v>62</v>
      </c>
      <c r="B28" s="2"/>
      <c r="C28" s="2"/>
      <c r="D28" s="2"/>
      <c r="E28" s="2"/>
      <c r="F28" s="2"/>
    </row>
    <row r="29" spans="1:7">
      <c r="A29" s="2"/>
      <c r="B29" s="2"/>
      <c r="C29" s="2"/>
      <c r="D29" s="2"/>
      <c r="E29" s="2"/>
      <c r="F29" s="2"/>
    </row>
    <row r="30" spans="1:7">
      <c r="A30" s="2"/>
      <c r="B30" s="2"/>
      <c r="C30" s="2"/>
      <c r="D30" s="2"/>
      <c r="E30" s="2"/>
      <c r="F30" s="2"/>
    </row>
    <row r="32" spans="1:7">
      <c r="A32" t="s">
        <v>63</v>
      </c>
      <c r="C32" s="11">
        <f>Inputs!D17</f>
        <v>47.1</v>
      </c>
    </row>
    <row r="33" spans="1:3">
      <c r="A33" t="s">
        <v>64</v>
      </c>
      <c r="C33" s="11">
        <f>Inputs!D18</f>
        <v>147.8</v>
      </c>
    </row>
    <row r="34" spans="1:3">
      <c r="A34" t="s">
        <v>65</v>
      </c>
      <c r="C34" s="11">
        <f>C7+C8</f>
        <v>157.049473035</v>
      </c>
    </row>
    <row r="35" spans="1:3">
      <c r="A35" t="s">
        <v>66</v>
      </c>
      <c r="C35" s="12">
        <f>IFERROR(C34/C33-1,0)</f>
        <v>0.0625810084</v>
      </c>
    </row>
    <row r="36" spans="1:3">
      <c r="A36" t="s">
        <v>67</v>
      </c>
      <c r="C36" s="13">
        <f>C19/Inputs!D10</f>
        <v>6.2943078232</v>
      </c>
    </row>
    <row r="37" spans="1:3">
      <c r="A37" t="s">
        <v>68</v>
      </c>
      <c r="C37" s="13">
        <f>C19/Inputs!D17</f>
        <v>5.0915738443</v>
      </c>
    </row>
    <row r="38" spans="1:3">
      <c r="A38" t="s">
        <v>69</v>
      </c>
      <c r="C38" s="11">
        <f>Inputs!D19</f>
        <v>265</v>
      </c>
    </row>
    <row r="40" spans="1:3">
      <c r="A40" s="3" t="s">
        <v>70</v>
      </c>
    </row>
  </sheetData>
  <mergeCells count="1">
    <mergeCell ref="A28:F30"/>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dimension ref="A1:H28"/>
  <sheetViews>
    <sheetView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46.7109375" customWidth="1"/>
    <col min="2" max="2" width="12.7109375" customWidth="1"/>
    <col min="3" max="5" width="11.7109375" customWidth="1"/>
    <col min="6" max="6" width="70.7109375" customWidth="1"/>
    <col min="7" max="7" width="64.7109375" customWidth="1"/>
    <col min="8" max="8" width="9.7109375" customWidth="1"/>
  </cols>
  <sheetData>
    <row r="1" spans="1:8">
      <c r="A1" s="4" t="s">
        <v>71</v>
      </c>
    </row>
    <row r="3" spans="1:8">
      <c r="A3" s="5" t="s">
        <v>72</v>
      </c>
      <c r="B3" s="5" t="s">
        <v>73</v>
      </c>
      <c r="C3" s="5" t="s">
        <v>19</v>
      </c>
      <c r="D3" s="5" t="s">
        <v>20</v>
      </c>
      <c r="E3" s="5" t="s">
        <v>21</v>
      </c>
      <c r="F3" s="5" t="s">
        <v>74</v>
      </c>
      <c r="G3" s="5" t="s">
        <v>75</v>
      </c>
      <c r="H3" s="5" t="s">
        <v>24</v>
      </c>
    </row>
    <row r="4" spans="1:8">
      <c r="A4" t="s">
        <v>76</v>
      </c>
      <c r="B4" t="s">
        <v>77</v>
      </c>
      <c r="C4" s="14">
        <v>134.79</v>
      </c>
      <c r="D4" s="14">
        <v>134.79</v>
      </c>
      <c r="E4" s="14">
        <v>134.79</v>
      </c>
      <c r="F4" s="2" t="s">
        <v>78</v>
      </c>
      <c r="G4" s="2"/>
      <c r="H4" t="s">
        <v>79</v>
      </c>
    </row>
    <row r="5" spans="1:8">
      <c r="A5" t="s">
        <v>80</v>
      </c>
      <c r="B5" t="s">
        <v>81</v>
      </c>
      <c r="C5" s="14">
        <v>42</v>
      </c>
      <c r="D5" s="14">
        <v>42</v>
      </c>
      <c r="E5" s="14">
        <v>42</v>
      </c>
      <c r="F5" s="2" t="s">
        <v>82</v>
      </c>
      <c r="G5" s="2"/>
    </row>
    <row r="6" spans="1:8">
      <c r="A6" t="s">
        <v>83</v>
      </c>
      <c r="B6" t="s">
        <v>84</v>
      </c>
      <c r="C6" s="15">
        <v>3.1</v>
      </c>
      <c r="D6" s="15">
        <v>2.937</v>
      </c>
      <c r="E6" s="15">
        <v>2.858</v>
      </c>
      <c r="F6" s="2" t="s">
        <v>85</v>
      </c>
      <c r="G6" s="2" t="s">
        <v>86</v>
      </c>
      <c r="H6" t="s">
        <v>87</v>
      </c>
    </row>
    <row r="7" spans="1:8">
      <c r="A7" t="s">
        <v>88</v>
      </c>
      <c r="B7" t="s">
        <v>84</v>
      </c>
      <c r="C7" s="15">
        <v>3.897</v>
      </c>
      <c r="D7" s="15">
        <v>3.809</v>
      </c>
      <c r="E7" s="15">
        <v>3.622</v>
      </c>
      <c r="F7" s="2" t="s">
        <v>89</v>
      </c>
      <c r="G7" s="2" t="s">
        <v>90</v>
      </c>
      <c r="H7" t="s">
        <v>91</v>
      </c>
    </row>
    <row r="8" spans="1:8">
      <c r="A8" t="s">
        <v>92</v>
      </c>
      <c r="B8" t="s">
        <v>93</v>
      </c>
      <c r="C8" s="16">
        <v>0.6</v>
      </c>
      <c r="D8" s="16">
        <v>0.75</v>
      </c>
      <c r="E8" s="16">
        <v>1</v>
      </c>
      <c r="F8" s="2" t="s">
        <v>94</v>
      </c>
      <c r="G8" s="2" t="s">
        <v>95</v>
      </c>
      <c r="H8" t="s">
        <v>96</v>
      </c>
    </row>
    <row r="9" spans="1:8">
      <c r="A9" t="s">
        <v>97</v>
      </c>
      <c r="B9" t="s">
        <v>93</v>
      </c>
      <c r="C9" s="17">
        <v>0.03</v>
      </c>
      <c r="D9" s="17">
        <v>0</v>
      </c>
      <c r="E9" s="17">
        <v>0</v>
      </c>
      <c r="F9" s="2" t="s">
        <v>98</v>
      </c>
      <c r="G9" s="2" t="s">
        <v>99</v>
      </c>
    </row>
    <row r="10" spans="1:8">
      <c r="A10" t="s">
        <v>100</v>
      </c>
      <c r="B10" t="s">
        <v>101</v>
      </c>
      <c r="C10" s="14">
        <v>38.1</v>
      </c>
      <c r="D10" s="14">
        <v>38.1</v>
      </c>
      <c r="E10" s="14">
        <v>38.1</v>
      </c>
      <c r="F10" s="2" t="s">
        <v>102</v>
      </c>
      <c r="G10" s="2" t="s">
        <v>103</v>
      </c>
      <c r="H10" t="s">
        <v>104</v>
      </c>
    </row>
    <row r="11" spans="1:8">
      <c r="A11" t="s">
        <v>105</v>
      </c>
      <c r="B11" t="s">
        <v>106</v>
      </c>
      <c r="C11" s="18">
        <v>2</v>
      </c>
      <c r="D11" s="18">
        <v>2.5</v>
      </c>
      <c r="E11" s="18">
        <v>3</v>
      </c>
      <c r="F11" s="2" t="s">
        <v>107</v>
      </c>
      <c r="G11" s="2" t="s">
        <v>108</v>
      </c>
      <c r="H11" t="s">
        <v>104</v>
      </c>
    </row>
    <row r="12" spans="1:8">
      <c r="A12" t="s">
        <v>109</v>
      </c>
      <c r="B12" t="s">
        <v>110</v>
      </c>
      <c r="C12" s="10">
        <f>86/30.4375</f>
        <v>2.8254620123203287</v>
      </c>
      <c r="D12" s="10">
        <f>86/30.4375</f>
        <v>2.8254620123203287</v>
      </c>
      <c r="E12" s="10">
        <f>86/30.4375</f>
        <v>2.8254620123203287</v>
      </c>
      <c r="F12" s="2" t="s">
        <v>111</v>
      </c>
      <c r="G12" s="2" t="s">
        <v>112</v>
      </c>
    </row>
    <row r="13" spans="1:8">
      <c r="A13" t="s">
        <v>113</v>
      </c>
      <c r="B13" t="s">
        <v>101</v>
      </c>
      <c r="C13" s="18">
        <v>4</v>
      </c>
      <c r="D13" s="18">
        <v>6.7</v>
      </c>
      <c r="E13" s="18">
        <v>9.4</v>
      </c>
      <c r="F13" s="2" t="s">
        <v>114</v>
      </c>
      <c r="G13" s="2" t="s">
        <v>108</v>
      </c>
      <c r="H13" t="s">
        <v>45</v>
      </c>
    </row>
    <row r="14" spans="1:8">
      <c r="A14" t="s">
        <v>115</v>
      </c>
      <c r="B14" t="s">
        <v>101</v>
      </c>
      <c r="C14" s="14">
        <v>12</v>
      </c>
      <c r="D14" s="14">
        <v>12</v>
      </c>
      <c r="E14" s="14">
        <v>12</v>
      </c>
      <c r="F14" s="2" t="s">
        <v>116</v>
      </c>
      <c r="G14" s="2" t="s">
        <v>117</v>
      </c>
      <c r="H14" t="s">
        <v>45</v>
      </c>
    </row>
    <row r="15" spans="1:8">
      <c r="A15" t="s">
        <v>118</v>
      </c>
      <c r="B15" t="s">
        <v>101</v>
      </c>
      <c r="C15" s="14">
        <v>10.9</v>
      </c>
      <c r="D15" s="14">
        <v>18.9</v>
      </c>
      <c r="E15" s="14">
        <v>26.9</v>
      </c>
      <c r="F15" s="2" t="s">
        <v>119</v>
      </c>
      <c r="G15" s="2" t="s">
        <v>108</v>
      </c>
      <c r="H15" t="s">
        <v>48</v>
      </c>
    </row>
    <row r="16" spans="1:8">
      <c r="A16" t="s">
        <v>120</v>
      </c>
      <c r="B16" t="s">
        <v>121</v>
      </c>
      <c r="C16" s="18">
        <v>0</v>
      </c>
      <c r="D16" s="18">
        <v>0</v>
      </c>
      <c r="E16" s="18">
        <v>540</v>
      </c>
      <c r="F16" s="2" t="s">
        <v>122</v>
      </c>
      <c r="G16" s="2" t="s">
        <v>123</v>
      </c>
      <c r="H16" t="s">
        <v>124</v>
      </c>
    </row>
    <row r="17" spans="1:8">
      <c r="A17" t="s">
        <v>125</v>
      </c>
      <c r="B17" t="s">
        <v>101</v>
      </c>
      <c r="C17" s="14">
        <v>47.1</v>
      </c>
      <c r="D17" s="14">
        <v>47.1</v>
      </c>
      <c r="E17" s="14">
        <v>47.1</v>
      </c>
      <c r="F17" s="2" t="s">
        <v>126</v>
      </c>
      <c r="G17" s="2" t="s">
        <v>127</v>
      </c>
      <c r="H17" t="s">
        <v>128</v>
      </c>
    </row>
    <row r="18" spans="1:8">
      <c r="A18" t="s">
        <v>129</v>
      </c>
      <c r="B18" t="s">
        <v>101</v>
      </c>
      <c r="C18" s="14">
        <v>147.8</v>
      </c>
      <c r="D18" s="14">
        <v>147.8</v>
      </c>
      <c r="E18" s="14">
        <v>147.8</v>
      </c>
      <c r="F18" s="2" t="s">
        <v>130</v>
      </c>
      <c r="G18" s="2" t="s">
        <v>131</v>
      </c>
      <c r="H18" t="s">
        <v>132</v>
      </c>
    </row>
    <row r="19" spans="1:8">
      <c r="A19" t="s">
        <v>133</v>
      </c>
      <c r="B19" t="s">
        <v>101</v>
      </c>
      <c r="C19" s="14">
        <v>265</v>
      </c>
      <c r="D19" s="14">
        <v>265</v>
      </c>
      <c r="E19" s="14">
        <v>265</v>
      </c>
      <c r="F19" s="2" t="s">
        <v>134</v>
      </c>
      <c r="G19" s="2" t="s">
        <v>135</v>
      </c>
      <c r="H19" t="s">
        <v>136</v>
      </c>
    </row>
    <row r="22" spans="1:8">
      <c r="A22" s="4" t="s">
        <v>137</v>
      </c>
    </row>
    <row r="23" spans="1:8">
      <c r="A23" s="5" t="s">
        <v>138</v>
      </c>
      <c r="B23" s="5" t="s">
        <v>139</v>
      </c>
      <c r="C23" s="5" t="s">
        <v>140</v>
      </c>
    </row>
    <row r="24" spans="1:8">
      <c r="A24" t="s">
        <v>141</v>
      </c>
      <c r="B24" s="14">
        <v>8.57</v>
      </c>
      <c r="C24" s="14">
        <v>4.22</v>
      </c>
    </row>
    <row r="25" spans="1:8">
      <c r="A25" t="s">
        <v>142</v>
      </c>
      <c r="B25" s="14">
        <v>8.9</v>
      </c>
      <c r="C25" s="14">
        <v>4.01</v>
      </c>
    </row>
    <row r="26" spans="1:8">
      <c r="A26" t="s">
        <v>143</v>
      </c>
      <c r="B26" s="14">
        <v>8.85</v>
      </c>
      <c r="C26" s="14">
        <v>3.98</v>
      </c>
    </row>
    <row r="27" spans="1:8">
      <c r="A27" t="s">
        <v>144</v>
      </c>
      <c r="B27" s="14">
        <v>8.66</v>
      </c>
      <c r="C27" s="14">
        <v>4.16</v>
      </c>
    </row>
    <row r="28" spans="1:8">
      <c r="A28"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41"/>
  <sheetViews>
    <sheetView workbookViewId="0">
      <pane xSplit="1" ySplit="3" topLeftCell="B4" activePane="bottomRight" state="frozen"/>
      <selection pane="topRight" activeCell="B1" sqref="B1"/>
      <selection pane="bottomLeft" activeCell="A4" sqref="A4"/>
      <selection pane="bottomRight"/>
    </sheetView>
  </sheetViews>
  <sheetFormatPr defaultRowHeight="15"/>
  <cols>
    <col min="1" max="13" width="12.7109375" customWidth="1"/>
  </cols>
  <sheetData>
    <row r="1" spans="1:13">
      <c r="A1" s="4" t="s">
        <v>146</v>
      </c>
    </row>
    <row r="3" spans="1:13">
      <c r="A3" s="5" t="s">
        <v>147</v>
      </c>
      <c r="B3" s="5" t="s">
        <v>148</v>
      </c>
      <c r="C3" s="5" t="s">
        <v>149</v>
      </c>
      <c r="D3" s="5" t="s">
        <v>150</v>
      </c>
      <c r="E3" s="5" t="s">
        <v>138</v>
      </c>
      <c r="F3" s="5" t="s">
        <v>151</v>
      </c>
      <c r="G3" s="5" t="s">
        <v>152</v>
      </c>
      <c r="H3" s="5" t="s">
        <v>153</v>
      </c>
      <c r="I3" s="5" t="s">
        <v>154</v>
      </c>
      <c r="J3" s="5" t="s">
        <v>155</v>
      </c>
      <c r="K3" s="5" t="s">
        <v>156</v>
      </c>
      <c r="L3" s="5" t="s">
        <v>157</v>
      </c>
      <c r="M3" s="5" t="s">
        <v>158</v>
      </c>
    </row>
    <row r="4" spans="1:13">
      <c r="A4" s="19">
        <v>46083</v>
      </c>
      <c r="B4" s="20">
        <v>3.015</v>
      </c>
      <c r="C4" s="20">
        <v>3.897</v>
      </c>
      <c r="D4" s="21">
        <v>3</v>
      </c>
      <c r="E4" s="3">
        <f>ROUNDUP(MONTH(A4)/3,0)</f>
        <v>1</v>
      </c>
      <c r="F4" s="22">
        <f>INDEX(Inputs!$B$24:$B$27,E4)</f>
        <v>8.57</v>
      </c>
      <c r="G4" s="22">
        <f>INDEX(Inputs!$C$24:$C$27,E4)</f>
        <v>4.22</v>
      </c>
      <c r="H4" s="10">
        <f>(B4-Inputs!$C$6)*F4*Inputs!$C$5*(1-Inputs!$C$9)*D4/1000</f>
        <v>-0.089031159</v>
      </c>
      <c r="I4" s="10">
        <f>(B4-Inputs!$D$6)*F4*Inputs!$D$5*(1-Inputs!$D$9)*D4/1000</f>
        <v>0.08422596</v>
      </c>
      <c r="J4" s="10">
        <f>(B4-Inputs!$E$6)*F4*Inputs!$E$5*(1-Inputs!$E$9)*D4/1000</f>
        <v>0.16953174</v>
      </c>
      <c r="K4" s="10">
        <f>(C4-Inputs!$C$7)*G4*Inputs!$C$8*Inputs!$C$5*(1-Inputs!$C$9)*D4/1000</f>
        <v>0.0</v>
      </c>
      <c r="L4" s="10">
        <f>(C4-Inputs!$D$7)*G4*Inputs!$D$8*Inputs!$D$5*(1-Inputs!$D$9)*D4/1000</f>
        <v>0.03509352</v>
      </c>
      <c r="M4" s="10">
        <f>(C4-Inputs!$E$7)*G4*Inputs!$E$8*Inputs!$E$5*(1-Inputs!$E$9)*D4/1000</f>
        <v>0.146223</v>
      </c>
    </row>
    <row r="5" spans="1:13">
      <c r="A5" s="19">
        <v>46090</v>
      </c>
      <c r="B5" s="20">
        <v>3.502</v>
      </c>
      <c r="C5" s="20">
        <v>4.859</v>
      </c>
      <c r="D5" s="21">
        <v>7</v>
      </c>
      <c r="E5" s="3">
        <f>ROUNDUP(MONTH(A5)/3,0)</f>
        <v>1</v>
      </c>
      <c r="F5" s="22">
        <f>INDEX(Inputs!$B$24:$B$27,E5)</f>
        <v>8.57</v>
      </c>
      <c r="G5" s="22">
        <f>INDEX(Inputs!$C$24:$C$27,E5)</f>
        <v>4.22</v>
      </c>
      <c r="H5" s="10">
        <f>(B5-Inputs!$C$6)*F5*Inputs!$C$5*(1-Inputs!$C$9)*D5/1000</f>
        <v>0.9824850252</v>
      </c>
      <c r="I5" s="10">
        <f>(B5-Inputs!$D$6)*F5*Inputs!$D$5*(1-Inputs!$D$9)*D5/1000</f>
        <v>1.4235627</v>
      </c>
      <c r="J5" s="10">
        <f>(B5-Inputs!$E$6)*F5*Inputs!$E$5*(1-Inputs!$E$9)*D5/1000</f>
        <v>1.62260952</v>
      </c>
      <c r="K5" s="10">
        <f>(C5-Inputs!$C$7)*G5*Inputs!$C$8*Inputs!$C$5*(1-Inputs!$C$9)*D5/1000</f>
        <v>0.6946368811</v>
      </c>
      <c r="L5" s="10">
        <f>(C5-Inputs!$D$7)*G5*Inputs!$D$8*Inputs!$D$5*(1-Inputs!$D$9)*D5/1000</f>
        <v>0.9770355</v>
      </c>
      <c r="M5" s="10">
        <f>(C5-Inputs!$E$7)*G5*Inputs!$E$8*Inputs!$E$5*(1-Inputs!$E$9)*D5/1000</f>
        <v>1.53472116</v>
      </c>
    </row>
    <row r="6" spans="1:13">
      <c r="A6" s="19">
        <v>46097</v>
      </c>
      <c r="B6" s="20">
        <v>3.72</v>
      </c>
      <c r="C6" s="20">
        <v>5.071</v>
      </c>
      <c r="D6" s="21">
        <v>7</v>
      </c>
      <c r="E6" s="3">
        <f>ROUNDUP(MONTH(A6)/3,0)</f>
        <v>1</v>
      </c>
      <c r="F6" s="22">
        <f>INDEX(Inputs!$B$24:$B$27,E6)</f>
        <v>8.57</v>
      </c>
      <c r="G6" s="22">
        <f>INDEX(Inputs!$C$24:$C$27,E6)</f>
        <v>4.22</v>
      </c>
      <c r="H6" s="10">
        <f>(B6-Inputs!$C$6)*F6*Inputs!$C$5*(1-Inputs!$C$9)*D6/1000</f>
        <v>1.515275412</v>
      </c>
      <c r="I6" s="10">
        <f>(B6-Inputs!$D$6)*F6*Inputs!$D$5*(1-Inputs!$D$9)*D6/1000</f>
        <v>1.97283114</v>
      </c>
      <c r="J6" s="10">
        <f>(B6-Inputs!$E$6)*F6*Inputs!$E$5*(1-Inputs!$E$9)*D6/1000</f>
        <v>2.17187796</v>
      </c>
      <c r="K6" s="10">
        <f>(C6-Inputs!$C$7)*G6*Inputs!$C$8*Inputs!$C$5*(1-Inputs!$C$9)*D6/1000</f>
        <v>0.8477169422</v>
      </c>
      <c r="L6" s="10">
        <f>(C6-Inputs!$D$7)*G6*Inputs!$D$8*Inputs!$D$5*(1-Inputs!$D$9)*D6/1000</f>
        <v>1.17430362</v>
      </c>
      <c r="M6" s="10">
        <f>(C6-Inputs!$E$7)*G6*Inputs!$E$8*Inputs!$E$5*(1-Inputs!$E$9)*D6/1000</f>
        <v>1.79774532</v>
      </c>
    </row>
    <row r="7" spans="1:13">
      <c r="A7" s="19">
        <v>46104</v>
      </c>
      <c r="B7" s="20">
        <v>3.961</v>
      </c>
      <c r="C7" s="20">
        <v>5.375</v>
      </c>
      <c r="D7" s="21">
        <v>7</v>
      </c>
      <c r="E7" s="3">
        <f>ROUNDUP(MONTH(A7)/3,0)</f>
        <v>1</v>
      </c>
      <c r="F7" s="22">
        <f>INDEX(Inputs!$B$24:$B$27,E7)</f>
        <v>8.57</v>
      </c>
      <c r="G7" s="22">
        <f>INDEX(Inputs!$C$24:$C$27,E7)</f>
        <v>4.22</v>
      </c>
      <c r="H7" s="10">
        <f>(B7-Inputs!$C$6)*F7*Inputs!$C$5*(1-Inputs!$C$9)*D7/1000</f>
        <v>2.1042776286</v>
      </c>
      <c r="I7" s="10">
        <f>(B7-Inputs!$D$6)*F7*Inputs!$D$5*(1-Inputs!$D$9)*D7/1000</f>
        <v>2.58004992</v>
      </c>
      <c r="J7" s="10">
        <f>(B7-Inputs!$E$6)*F7*Inputs!$E$5*(1-Inputs!$E$9)*D7/1000</f>
        <v>2.77909674</v>
      </c>
      <c r="K7" s="10">
        <f>(C7-Inputs!$C$7)*G7*Inputs!$C$8*Inputs!$C$5*(1-Inputs!$C$9)*D7/1000</f>
        <v>1.0672279733</v>
      </c>
      <c r="L7" s="10">
        <f>(C7-Inputs!$D$7)*G7*Inputs!$D$8*Inputs!$D$5*(1-Inputs!$D$9)*D7/1000</f>
        <v>1.45717866</v>
      </c>
      <c r="M7" s="10">
        <f>(C7-Inputs!$E$7)*G7*Inputs!$E$8*Inputs!$E$5*(1-Inputs!$E$9)*D7/1000</f>
        <v>2.17491204</v>
      </c>
    </row>
    <row r="8" spans="1:13">
      <c r="A8" s="19">
        <v>46111</v>
      </c>
      <c r="B8" s="20">
        <v>3.99</v>
      </c>
      <c r="C8" s="20">
        <v>5.401</v>
      </c>
      <c r="D8" s="21">
        <v>7</v>
      </c>
      <c r="E8" s="3">
        <f>ROUNDUP(MONTH(A8)/3,0)</f>
        <v>1</v>
      </c>
      <c r="F8" s="22">
        <f>INDEX(Inputs!$B$24:$B$27,E8)</f>
        <v>8.57</v>
      </c>
      <c r="G8" s="22">
        <f>INDEX(Inputs!$C$24:$C$27,E8)</f>
        <v>4.22</v>
      </c>
      <c r="H8" s="10">
        <f>(B8-Inputs!$C$6)*F8*Inputs!$C$5*(1-Inputs!$C$9)*D8/1000</f>
        <v>2.175153414</v>
      </c>
      <c r="I8" s="10">
        <f>(B8-Inputs!$D$6)*F8*Inputs!$D$5*(1-Inputs!$D$9)*D8/1000</f>
        <v>2.65311774</v>
      </c>
      <c r="J8" s="10">
        <f>(B8-Inputs!$E$6)*F8*Inputs!$E$5*(1-Inputs!$E$9)*D8/1000</f>
        <v>2.85216456</v>
      </c>
      <c r="K8" s="10">
        <f>(C8-Inputs!$C$7)*G8*Inputs!$C$8*Inputs!$C$5*(1-Inputs!$C$9)*D8/1000</f>
        <v>1.086001943</v>
      </c>
      <c r="L8" s="10">
        <f>(C8-Inputs!$D$7)*G8*Inputs!$D$8*Inputs!$D$5*(1-Inputs!$D$9)*D8/1000</f>
        <v>1.48137192</v>
      </c>
      <c r="M8" s="10">
        <f>(C8-Inputs!$E$7)*G8*Inputs!$E$8*Inputs!$E$5*(1-Inputs!$E$9)*D8/1000</f>
        <v>2.20716972</v>
      </c>
    </row>
    <row r="9" spans="1:13">
      <c r="A9" s="19">
        <v>46118</v>
      </c>
      <c r="B9" s="20">
        <v>4.12</v>
      </c>
      <c r="C9" s="20">
        <v>5.643</v>
      </c>
      <c r="D9" s="21">
        <v>7</v>
      </c>
      <c r="E9" s="3">
        <f>ROUNDUP(MONTH(A9)/3,0)</f>
        <v>2</v>
      </c>
      <c r="F9" s="22">
        <f>INDEX(Inputs!$B$24:$B$27,E9)</f>
        <v>8.9</v>
      </c>
      <c r="G9" s="22">
        <f>INDEX(Inputs!$C$24:$C$27,E9)</f>
        <v>4.01</v>
      </c>
      <c r="H9" s="10">
        <f>(B9-Inputs!$C$6)*F9*Inputs!$C$5*(1-Inputs!$C$9)*D9/1000</f>
        <v>2.58886404</v>
      </c>
      <c r="I9" s="10">
        <f>(B9-Inputs!$D$6)*F9*Inputs!$D$5*(1-Inputs!$D$9)*D9/1000</f>
        <v>3.0954378</v>
      </c>
      <c r="J9" s="10">
        <f>(B9-Inputs!$E$6)*F9*Inputs!$E$5*(1-Inputs!$E$9)*D9/1000</f>
        <v>3.3021492</v>
      </c>
      <c r="K9" s="10">
        <f>(C9-Inputs!$C$7)*G9*Inputs!$C$8*Inputs!$C$5*(1-Inputs!$C$9)*D9/1000</f>
        <v>1.1980058177</v>
      </c>
      <c r="L9" s="10">
        <f>(C9-Inputs!$D$7)*G9*Inputs!$D$8*Inputs!$D$5*(1-Inputs!$D$9)*D9/1000</f>
        <v>1.62163197</v>
      </c>
      <c r="M9" s="10">
        <f>(C9-Inputs!$E$7)*G9*Inputs!$E$8*Inputs!$E$5*(1-Inputs!$E$9)*D9/1000</f>
        <v>2.38263774</v>
      </c>
    </row>
    <row r="10" spans="1:13">
      <c r="A10" s="19">
        <v>46125</v>
      </c>
      <c r="B10" s="20">
        <v>4.123</v>
      </c>
      <c r="C10" s="20">
        <v>5.608</v>
      </c>
      <c r="D10" s="21">
        <v>7</v>
      </c>
      <c r="E10" s="3">
        <f>ROUNDUP(MONTH(A10)/3,0)</f>
        <v>2</v>
      </c>
      <c r="F10" s="22">
        <f>INDEX(Inputs!$B$24:$B$27,E10)</f>
        <v>8.9</v>
      </c>
      <c r="G10" s="22">
        <f>INDEX(Inputs!$C$24:$C$27,E10)</f>
        <v>4.01</v>
      </c>
      <c r="H10" s="10">
        <f>(B10-Inputs!$C$6)*F10*Inputs!$C$5*(1-Inputs!$C$9)*D10/1000</f>
        <v>2.596478346</v>
      </c>
      <c r="I10" s="10">
        <f>(B10-Inputs!$D$6)*F10*Inputs!$D$5*(1-Inputs!$D$9)*D10/1000</f>
        <v>3.1032876</v>
      </c>
      <c r="J10" s="10">
        <f>(B10-Inputs!$E$6)*F10*Inputs!$E$5*(1-Inputs!$E$9)*D10/1000</f>
        <v>3.309999</v>
      </c>
      <c r="K10" s="10">
        <f>(C10-Inputs!$C$7)*G10*Inputs!$C$8*Inputs!$C$5*(1-Inputs!$C$9)*D10/1000</f>
        <v>1.1739908099</v>
      </c>
      <c r="L10" s="10">
        <f>(C10-Inputs!$D$7)*G10*Inputs!$D$8*Inputs!$D$5*(1-Inputs!$D$9)*D10/1000</f>
        <v>1.590684795</v>
      </c>
      <c r="M10" s="10">
        <f>(C10-Inputs!$E$7)*G10*Inputs!$E$8*Inputs!$E$5*(1-Inputs!$E$9)*D10/1000</f>
        <v>2.34137484</v>
      </c>
    </row>
    <row r="11" spans="1:13">
      <c r="A11" s="19">
        <v>46132</v>
      </c>
      <c r="B11" s="20">
        <v>4.044</v>
      </c>
      <c r="C11" s="20">
        <v>5.403</v>
      </c>
      <c r="D11" s="21">
        <v>7</v>
      </c>
      <c r="E11" s="3">
        <f>ROUNDUP(MONTH(A11)/3,0)</f>
        <v>2</v>
      </c>
      <c r="F11" s="22">
        <f>INDEX(Inputs!$B$24:$B$27,E11)</f>
        <v>8.9</v>
      </c>
      <c r="G11" s="22">
        <f>INDEX(Inputs!$C$24:$C$27,E11)</f>
        <v>4.01</v>
      </c>
      <c r="H11" s="10">
        <f>(B11-Inputs!$C$6)*F11*Inputs!$C$5*(1-Inputs!$C$9)*D11/1000</f>
        <v>2.395968288</v>
      </c>
      <c r="I11" s="10">
        <f>(B11-Inputs!$D$6)*F11*Inputs!$D$5*(1-Inputs!$D$9)*D11/1000</f>
        <v>2.8965762</v>
      </c>
      <c r="J11" s="10">
        <f>(B11-Inputs!$E$6)*F11*Inputs!$E$5*(1-Inputs!$E$9)*D11/1000</f>
        <v>3.1032876</v>
      </c>
      <c r="K11" s="10">
        <f>(C11-Inputs!$C$7)*G11*Inputs!$C$8*Inputs!$C$5*(1-Inputs!$C$9)*D11/1000</f>
        <v>1.0333314785</v>
      </c>
      <c r="L11" s="10">
        <f>(C11-Inputs!$D$7)*G11*Inputs!$D$8*Inputs!$D$5*(1-Inputs!$D$9)*D11/1000</f>
        <v>1.40942277</v>
      </c>
      <c r="M11" s="10">
        <f>(C11-Inputs!$E$7)*G11*Inputs!$E$8*Inputs!$E$5*(1-Inputs!$E$9)*D11/1000</f>
        <v>2.09969214</v>
      </c>
    </row>
    <row r="12" spans="1:13">
      <c r="A12" s="19">
        <v>46139</v>
      </c>
      <c r="B12" s="20">
        <v>4.123</v>
      </c>
      <c r="C12" s="20">
        <v>5.351</v>
      </c>
      <c r="D12" s="21">
        <v>7</v>
      </c>
      <c r="E12" s="3">
        <f>ROUNDUP(MONTH(A12)/3,0)</f>
        <v>2</v>
      </c>
      <c r="F12" s="22">
        <f>INDEX(Inputs!$B$24:$B$27,E12)</f>
        <v>8.9</v>
      </c>
      <c r="G12" s="22">
        <f>INDEX(Inputs!$C$24:$C$27,E12)</f>
        <v>4.01</v>
      </c>
      <c r="H12" s="10">
        <f>(B12-Inputs!$C$6)*F12*Inputs!$C$5*(1-Inputs!$C$9)*D12/1000</f>
        <v>2.596478346</v>
      </c>
      <c r="I12" s="10">
        <f>(B12-Inputs!$D$6)*F12*Inputs!$D$5*(1-Inputs!$D$9)*D12/1000</f>
        <v>3.1032876</v>
      </c>
      <c r="J12" s="10">
        <f>(B12-Inputs!$E$6)*F12*Inputs!$E$5*(1-Inputs!$E$9)*D12/1000</f>
        <v>3.309999</v>
      </c>
      <c r="K12" s="10">
        <f>(C12-Inputs!$C$7)*G12*Inputs!$C$8*Inputs!$C$5*(1-Inputs!$C$9)*D12/1000</f>
        <v>0.9976520383</v>
      </c>
      <c r="L12" s="10">
        <f>(C12-Inputs!$D$7)*G12*Inputs!$D$8*Inputs!$D$5*(1-Inputs!$D$9)*D12/1000</f>
        <v>1.36344411</v>
      </c>
      <c r="M12" s="10">
        <f>(C12-Inputs!$E$7)*G12*Inputs!$E$8*Inputs!$E$5*(1-Inputs!$E$9)*D12/1000</f>
        <v>2.03838726</v>
      </c>
    </row>
    <row r="13" spans="1:13">
      <c r="A13" s="19">
        <v>46146</v>
      </c>
      <c r="B13" s="20">
        <v>4.452</v>
      </c>
      <c r="C13" s="20">
        <v>5.64</v>
      </c>
      <c r="D13" s="21">
        <v>7</v>
      </c>
      <c r="E13" s="3">
        <f>ROUNDUP(MONTH(A13)/3,0)</f>
        <v>2</v>
      </c>
      <c r="F13" s="22">
        <f>INDEX(Inputs!$B$24:$B$27,E13)</f>
        <v>8.9</v>
      </c>
      <c r="G13" s="22">
        <f>INDEX(Inputs!$C$24:$C$27,E13)</f>
        <v>4.01</v>
      </c>
      <c r="H13" s="10">
        <f>(B13-Inputs!$C$6)*F13*Inputs!$C$5*(1-Inputs!$C$9)*D13/1000</f>
        <v>3.431513904</v>
      </c>
      <c r="I13" s="10">
        <f>(B13-Inputs!$D$6)*F13*Inputs!$D$5*(1-Inputs!$D$9)*D13/1000</f>
        <v>3.964149</v>
      </c>
      <c r="J13" s="10">
        <f>(B13-Inputs!$E$6)*F13*Inputs!$E$5*(1-Inputs!$E$9)*D13/1000</f>
        <v>4.1708604</v>
      </c>
      <c r="K13" s="10">
        <f>(C13-Inputs!$C$7)*G13*Inputs!$C$8*Inputs!$C$5*(1-Inputs!$C$9)*D13/1000</f>
        <v>1.1959473884</v>
      </c>
      <c r="L13" s="10">
        <f>(C13-Inputs!$D$7)*G13*Inputs!$D$8*Inputs!$D$5*(1-Inputs!$D$9)*D13/1000</f>
        <v>1.618979355</v>
      </c>
      <c r="M13" s="10">
        <f>(C13-Inputs!$E$7)*G13*Inputs!$E$8*Inputs!$E$5*(1-Inputs!$E$9)*D13/1000</f>
        <v>2.37910092</v>
      </c>
    </row>
    <row r="14" spans="1:13">
      <c r="A14" s="19">
        <v>46153</v>
      </c>
      <c r="B14" s="20">
        <v>4.5</v>
      </c>
      <c r="C14" s="20">
        <v>5.639</v>
      </c>
      <c r="D14" s="21">
        <v>7</v>
      </c>
      <c r="E14" s="3">
        <f>ROUNDUP(MONTH(A14)/3,0)</f>
        <v>2</v>
      </c>
      <c r="F14" s="22">
        <f>INDEX(Inputs!$B$24:$B$27,E14)</f>
        <v>8.9</v>
      </c>
      <c r="G14" s="22">
        <f>INDEX(Inputs!$C$24:$C$27,E14)</f>
        <v>4.01</v>
      </c>
      <c r="H14" s="10">
        <f>(B14-Inputs!$C$6)*F14*Inputs!$C$5*(1-Inputs!$C$9)*D14/1000</f>
        <v>3.5533428</v>
      </c>
      <c r="I14" s="10">
        <f>(B14-Inputs!$D$6)*F14*Inputs!$D$5*(1-Inputs!$D$9)*D14/1000</f>
        <v>4.0897458</v>
      </c>
      <c r="J14" s="10">
        <f>(B14-Inputs!$E$6)*F14*Inputs!$E$5*(1-Inputs!$E$9)*D14/1000</f>
        <v>4.2964572</v>
      </c>
      <c r="K14" s="10">
        <f>(C14-Inputs!$C$7)*G14*Inputs!$C$8*Inputs!$C$5*(1-Inputs!$C$9)*D14/1000</f>
        <v>1.1952612454</v>
      </c>
      <c r="L14" s="10">
        <f>(C14-Inputs!$D$7)*G14*Inputs!$D$8*Inputs!$D$5*(1-Inputs!$D$9)*D14/1000</f>
        <v>1.61809515</v>
      </c>
      <c r="M14" s="10">
        <f>(C14-Inputs!$E$7)*G14*Inputs!$E$8*Inputs!$E$5*(1-Inputs!$E$9)*D14/1000</f>
        <v>2.37792198</v>
      </c>
    </row>
    <row r="15" spans="1:13">
      <c r="A15" s="19">
        <v>46160</v>
      </c>
      <c r="B15" s="20">
        <v>4.49</v>
      </c>
      <c r="C15" s="20">
        <v>5.596</v>
      </c>
      <c r="D15" s="21">
        <v>7</v>
      </c>
      <c r="E15" s="3">
        <f>ROUNDUP(MONTH(A15)/3,0)</f>
        <v>2</v>
      </c>
      <c r="F15" s="22">
        <f>INDEX(Inputs!$B$24:$B$27,E15)</f>
        <v>8.9</v>
      </c>
      <c r="G15" s="22">
        <f>INDEX(Inputs!$C$24:$C$27,E15)</f>
        <v>4.01</v>
      </c>
      <c r="H15" s="10">
        <f>(B15-Inputs!$C$6)*F15*Inputs!$C$5*(1-Inputs!$C$9)*D15/1000</f>
        <v>3.52796178</v>
      </c>
      <c r="I15" s="10">
        <f>(B15-Inputs!$D$6)*F15*Inputs!$D$5*(1-Inputs!$D$9)*D15/1000</f>
        <v>4.0635798</v>
      </c>
      <c r="J15" s="10">
        <f>(B15-Inputs!$E$6)*F15*Inputs!$E$5*(1-Inputs!$E$9)*D15/1000</f>
        <v>4.2702912</v>
      </c>
      <c r="K15" s="10">
        <f>(C15-Inputs!$C$7)*G15*Inputs!$C$8*Inputs!$C$5*(1-Inputs!$C$9)*D15/1000</f>
        <v>1.1657570929</v>
      </c>
      <c r="L15" s="10">
        <f>(C15-Inputs!$D$7)*G15*Inputs!$D$8*Inputs!$D$5*(1-Inputs!$D$9)*D15/1000</f>
        <v>1.580074335</v>
      </c>
      <c r="M15" s="10">
        <f>(C15-Inputs!$E$7)*G15*Inputs!$E$8*Inputs!$E$5*(1-Inputs!$E$9)*D15/1000</f>
        <v>2.32722756</v>
      </c>
    </row>
    <row r="16" spans="1:13">
      <c r="A16" s="19">
        <v>46167</v>
      </c>
      <c r="B16" s="20">
        <v>4.475</v>
      </c>
      <c r="C16" s="20">
        <v>5.523</v>
      </c>
      <c r="D16" s="21">
        <v>7</v>
      </c>
      <c r="E16" s="3">
        <f>ROUNDUP(MONTH(A16)/3,0)</f>
        <v>2</v>
      </c>
      <c r="F16" s="22">
        <f>INDEX(Inputs!$B$24:$B$27,E16)</f>
        <v>8.9</v>
      </c>
      <c r="G16" s="22">
        <f>INDEX(Inputs!$C$24:$C$27,E16)</f>
        <v>4.01</v>
      </c>
      <c r="H16" s="10">
        <f>(B16-Inputs!$C$6)*F16*Inputs!$C$5*(1-Inputs!$C$9)*D16/1000</f>
        <v>3.48989025</v>
      </c>
      <c r="I16" s="10">
        <f>(B16-Inputs!$D$6)*F16*Inputs!$D$5*(1-Inputs!$D$9)*D16/1000</f>
        <v>4.0243308</v>
      </c>
      <c r="J16" s="10">
        <f>(B16-Inputs!$E$6)*F16*Inputs!$E$5*(1-Inputs!$E$9)*D16/1000</f>
        <v>4.2310422</v>
      </c>
      <c r="K16" s="10">
        <f>(C16-Inputs!$C$7)*G16*Inputs!$C$8*Inputs!$C$5*(1-Inputs!$C$9)*D16/1000</f>
        <v>1.1156686481</v>
      </c>
      <c r="L16" s="10">
        <f>(C16-Inputs!$D$7)*G16*Inputs!$D$8*Inputs!$D$5*(1-Inputs!$D$9)*D16/1000</f>
        <v>1.51552737</v>
      </c>
      <c r="M16" s="10">
        <f>(C16-Inputs!$E$7)*G16*Inputs!$E$8*Inputs!$E$5*(1-Inputs!$E$9)*D16/1000</f>
        <v>2.24116494</v>
      </c>
    </row>
    <row r="17" spans="1:13">
      <c r="A17" s="19">
        <v>46174</v>
      </c>
      <c r="B17" s="20">
        <v>4.305</v>
      </c>
      <c r="C17" s="20">
        <v>5.35</v>
      </c>
      <c r="D17" s="21">
        <v>7</v>
      </c>
      <c r="E17" s="3">
        <f>ROUNDUP(MONTH(A17)/3,0)</f>
        <v>2</v>
      </c>
      <c r="F17" s="22">
        <f>INDEX(Inputs!$B$24:$B$27,E17)</f>
        <v>8.9</v>
      </c>
      <c r="G17" s="22">
        <f>INDEX(Inputs!$C$24:$C$27,E17)</f>
        <v>4.01</v>
      </c>
      <c r="H17" s="10">
        <f>(B17-Inputs!$C$6)*F17*Inputs!$C$5*(1-Inputs!$C$9)*D17/1000</f>
        <v>3.05841291</v>
      </c>
      <c r="I17" s="10">
        <f>(B17-Inputs!$D$6)*F17*Inputs!$D$5*(1-Inputs!$D$9)*D17/1000</f>
        <v>3.5795088</v>
      </c>
      <c r="J17" s="10">
        <f>(B17-Inputs!$E$6)*F17*Inputs!$E$5*(1-Inputs!$E$9)*D17/1000</f>
        <v>3.7862202</v>
      </c>
      <c r="K17" s="10">
        <f>(C17-Inputs!$C$7)*G17*Inputs!$C$8*Inputs!$C$5*(1-Inputs!$C$9)*D17/1000</f>
        <v>0.9969658952</v>
      </c>
      <c r="L17" s="10">
        <f>(C17-Inputs!$D$7)*G17*Inputs!$D$8*Inputs!$D$5*(1-Inputs!$D$9)*D17/1000</f>
        <v>1.362559905</v>
      </c>
      <c r="M17" s="10">
        <f>(C17-Inputs!$E$7)*G17*Inputs!$E$8*Inputs!$E$5*(1-Inputs!$E$9)*D17/1000</f>
        <v>2.03720832</v>
      </c>
    </row>
    <row r="18" spans="1:13">
      <c r="A18" s="19">
        <v>46181</v>
      </c>
      <c r="B18" s="20">
        <v>4.146</v>
      </c>
      <c r="C18" s="20">
        <v>5.21</v>
      </c>
      <c r="D18" s="21">
        <v>7</v>
      </c>
      <c r="E18" s="3">
        <f>ROUNDUP(MONTH(A18)/3,0)</f>
        <v>2</v>
      </c>
      <c r="F18" s="22">
        <f>INDEX(Inputs!$B$24:$B$27,E18)</f>
        <v>8.9</v>
      </c>
      <c r="G18" s="22">
        <f>INDEX(Inputs!$C$24:$C$27,E18)</f>
        <v>4.01</v>
      </c>
      <c r="H18" s="10">
        <f>(B18-Inputs!$C$6)*F18*Inputs!$C$5*(1-Inputs!$C$9)*D18/1000</f>
        <v>2.654854692</v>
      </c>
      <c r="I18" s="10">
        <f>(B18-Inputs!$D$6)*F18*Inputs!$D$5*(1-Inputs!$D$9)*D18/1000</f>
        <v>3.1634694</v>
      </c>
      <c r="J18" s="10">
        <f>(B18-Inputs!$E$6)*F18*Inputs!$E$5*(1-Inputs!$E$9)*D18/1000</f>
        <v>3.3701808</v>
      </c>
      <c r="K18" s="10">
        <f>(C18-Inputs!$C$7)*G18*Inputs!$C$8*Inputs!$C$5*(1-Inputs!$C$9)*D18/1000</f>
        <v>0.900905864</v>
      </c>
      <c r="L18" s="10">
        <f>(C18-Inputs!$D$7)*G18*Inputs!$D$8*Inputs!$D$5*(1-Inputs!$D$9)*D18/1000</f>
        <v>1.238771205</v>
      </c>
      <c r="M18" s="10">
        <f>(C18-Inputs!$E$7)*G18*Inputs!$E$8*Inputs!$E$5*(1-Inputs!$E$9)*D18/1000</f>
        <v>1.87215672</v>
      </c>
    </row>
    <row r="19" spans="1:13">
      <c r="A19" s="19">
        <v>46188</v>
      </c>
      <c r="B19" s="20">
        <v>4.052</v>
      </c>
      <c r="C19" s="20">
        <v>5.059</v>
      </c>
      <c r="D19" s="21">
        <v>7</v>
      </c>
      <c r="E19" s="3">
        <f>ROUNDUP(MONTH(A19)/3,0)</f>
        <v>2</v>
      </c>
      <c r="F19" s="22">
        <f>INDEX(Inputs!$B$24:$B$27,E19)</f>
        <v>8.9</v>
      </c>
      <c r="G19" s="22">
        <f>INDEX(Inputs!$C$24:$C$27,E19)</f>
        <v>4.01</v>
      </c>
      <c r="H19" s="10">
        <f>(B19-Inputs!$C$6)*F19*Inputs!$C$5*(1-Inputs!$C$9)*D19/1000</f>
        <v>2.416273104</v>
      </c>
      <c r="I19" s="10">
        <f>(B19-Inputs!$D$6)*F19*Inputs!$D$5*(1-Inputs!$D$9)*D19/1000</f>
        <v>2.917509</v>
      </c>
      <c r="J19" s="10">
        <f>(B19-Inputs!$E$6)*F19*Inputs!$E$5*(1-Inputs!$E$9)*D19/1000</f>
        <v>3.1242204</v>
      </c>
      <c r="K19" s="10">
        <f>(C19-Inputs!$C$7)*G19*Inputs!$C$8*Inputs!$C$5*(1-Inputs!$C$9)*D19/1000</f>
        <v>0.797298259</v>
      </c>
      <c r="L19" s="10">
        <f>(C19-Inputs!$D$7)*G19*Inputs!$D$8*Inputs!$D$5*(1-Inputs!$D$9)*D19/1000</f>
        <v>1.10525625</v>
      </c>
      <c r="M19" s="10">
        <f>(C19-Inputs!$E$7)*G19*Inputs!$E$8*Inputs!$E$5*(1-Inputs!$E$9)*D19/1000</f>
        <v>1.69413678</v>
      </c>
    </row>
    <row r="20" spans="1:13">
      <c r="A20" s="19">
        <v>46195</v>
      </c>
      <c r="B20" s="20">
        <v>3.914</v>
      </c>
      <c r="C20" s="20">
        <v>4.832</v>
      </c>
      <c r="D20" s="21">
        <v>7</v>
      </c>
      <c r="E20" s="3">
        <f>ROUNDUP(MONTH(A20)/3,0)</f>
        <v>2</v>
      </c>
      <c r="F20" s="22">
        <f>INDEX(Inputs!$B$24:$B$27,E20)</f>
        <v>8.9</v>
      </c>
      <c r="G20" s="22">
        <f>INDEX(Inputs!$C$24:$C$27,E20)</f>
        <v>4.01</v>
      </c>
      <c r="H20" s="10">
        <f>(B20-Inputs!$C$6)*F20*Inputs!$C$5*(1-Inputs!$C$9)*D20/1000</f>
        <v>2.066015028</v>
      </c>
      <c r="I20" s="10">
        <f>(B20-Inputs!$D$6)*F20*Inputs!$D$5*(1-Inputs!$D$9)*D20/1000</f>
        <v>2.5564182</v>
      </c>
      <c r="J20" s="10">
        <f>(B20-Inputs!$E$6)*F20*Inputs!$E$5*(1-Inputs!$E$9)*D20/1000</f>
        <v>2.7631296</v>
      </c>
      <c r="K20" s="10">
        <f>(C20-Inputs!$C$7)*G20*Inputs!$C$8*Inputs!$C$5*(1-Inputs!$C$9)*D20/1000</f>
        <v>0.6415437798</v>
      </c>
      <c r="L20" s="10">
        <f>(C20-Inputs!$D$7)*G20*Inputs!$D$8*Inputs!$D$5*(1-Inputs!$D$9)*D20/1000</f>
        <v>0.904541715</v>
      </c>
      <c r="M20" s="10">
        <f>(C20-Inputs!$E$7)*G20*Inputs!$E$8*Inputs!$E$5*(1-Inputs!$E$9)*D20/1000</f>
        <v>1.4265174</v>
      </c>
    </row>
    <row r="21" spans="1:13">
      <c r="A21" s="19">
        <v>46202</v>
      </c>
      <c r="B21" s="20">
        <v>3.831</v>
      </c>
      <c r="C21" s="20">
        <v>4.668</v>
      </c>
      <c r="D21" s="21">
        <v>7</v>
      </c>
      <c r="E21" s="3">
        <f>ROUNDUP(MONTH(A21)/3,0)</f>
        <v>2</v>
      </c>
      <c r="F21" s="22">
        <f>INDEX(Inputs!$B$24:$B$27,E21)</f>
        <v>8.9</v>
      </c>
      <c r="G21" s="22">
        <f>INDEX(Inputs!$C$24:$C$27,E21)</f>
        <v>4.01</v>
      </c>
      <c r="H21" s="10">
        <f>(B21-Inputs!$C$6)*F21*Inputs!$C$5*(1-Inputs!$C$9)*D21/1000</f>
        <v>1.855352562</v>
      </c>
      <c r="I21" s="10">
        <f>(B21-Inputs!$D$6)*F21*Inputs!$D$5*(1-Inputs!$D$9)*D21/1000</f>
        <v>2.3392404</v>
      </c>
      <c r="J21" s="10">
        <f>(B21-Inputs!$E$6)*F21*Inputs!$E$5*(1-Inputs!$E$9)*D21/1000</f>
        <v>2.5459518</v>
      </c>
      <c r="K21" s="10">
        <f>(C21-Inputs!$C$7)*G21*Inputs!$C$8*Inputs!$C$5*(1-Inputs!$C$9)*D21/1000</f>
        <v>0.5290163147</v>
      </c>
      <c r="L21" s="10">
        <f>(C21-Inputs!$D$7)*G21*Inputs!$D$8*Inputs!$D$5*(1-Inputs!$D$9)*D21/1000</f>
        <v>0.759532095</v>
      </c>
      <c r="M21" s="10">
        <f>(C21-Inputs!$E$7)*G21*Inputs!$E$8*Inputs!$E$5*(1-Inputs!$E$9)*D21/1000</f>
        <v>1.23317124</v>
      </c>
    </row>
    <row r="22" spans="1:13">
      <c r="A22" s="19">
        <v>46209</v>
      </c>
      <c r="B22" s="20">
        <v>3.777</v>
      </c>
      <c r="C22" s="20">
        <v>4.578</v>
      </c>
      <c r="D22" s="21">
        <v>7</v>
      </c>
      <c r="E22" s="3">
        <f>ROUNDUP(MONTH(A22)/3,0)</f>
        <v>3</v>
      </c>
      <c r="F22" s="22">
        <f>INDEX(Inputs!$B$24:$B$27,E22)</f>
        <v>8.85</v>
      </c>
      <c r="G22" s="22">
        <f>INDEX(Inputs!$C$24:$C$27,E22)</f>
        <v>3.98</v>
      </c>
      <c r="H22" s="10">
        <f>(B22-Inputs!$C$6)*F22*Inputs!$C$5*(1-Inputs!$C$9)*D22/1000</f>
        <v>1.708641711</v>
      </c>
      <c r="I22" s="10">
        <f>(B22-Inputs!$D$6)*F22*Inputs!$D$5*(1-Inputs!$D$9)*D22/1000</f>
        <v>2.185596</v>
      </c>
      <c r="J22" s="10">
        <f>(B22-Inputs!$E$6)*F22*Inputs!$E$5*(1-Inputs!$E$9)*D22/1000</f>
        <v>2.3911461</v>
      </c>
      <c r="K22" s="10">
        <f>(C22-Inputs!$C$7)*G22*Inputs!$C$8*Inputs!$C$5*(1-Inputs!$C$9)*D22/1000</f>
        <v>0.463767701</v>
      </c>
      <c r="L22" s="10">
        <f>(C22-Inputs!$D$7)*G22*Inputs!$D$8*Inputs!$D$5*(1-Inputs!$D$9)*D22/1000</f>
        <v>0.67486671</v>
      </c>
      <c r="M22" s="10">
        <f>(C22-Inputs!$E$7)*G22*Inputs!$E$8*Inputs!$E$5*(1-Inputs!$E$9)*D22/1000</f>
        <v>1.11863472</v>
      </c>
    </row>
    <row r="23" spans="1:13">
      <c r="A23" s="19">
        <v>46216</v>
      </c>
      <c r="B23" s="20">
        <v>3.855</v>
      </c>
      <c r="C23" s="20">
        <v>4.796</v>
      </c>
      <c r="D23" s="21">
        <v>7</v>
      </c>
      <c r="E23" s="3">
        <f>ROUNDUP(MONTH(A23)/3,0)</f>
        <v>3</v>
      </c>
      <c r="F23" s="22">
        <f>INDEX(Inputs!$B$24:$B$27,E23)</f>
        <v>8.85</v>
      </c>
      <c r="G23" s="22">
        <f>INDEX(Inputs!$C$24:$C$27,E23)</f>
        <v>3.98</v>
      </c>
      <c r="H23" s="10">
        <f>(B23-Inputs!$C$6)*F23*Inputs!$C$5*(1-Inputs!$C$9)*D23/1000</f>
        <v>1.905501465</v>
      </c>
      <c r="I23" s="10">
        <f>(B23-Inputs!$D$6)*F23*Inputs!$D$5*(1-Inputs!$D$9)*D23/1000</f>
        <v>2.3885442</v>
      </c>
      <c r="J23" s="10">
        <f>(B23-Inputs!$E$6)*F23*Inputs!$E$5*(1-Inputs!$E$9)*D23/1000</f>
        <v>2.5940943</v>
      </c>
      <c r="K23" s="10">
        <f>(C23-Inputs!$C$7)*G23*Inputs!$C$8*Inputs!$C$5*(1-Inputs!$C$9)*D23/1000</f>
        <v>0.6122278462</v>
      </c>
      <c r="L23" s="10">
        <f>(C23-Inputs!$D$7)*G23*Inputs!$D$8*Inputs!$D$5*(1-Inputs!$D$9)*D23/1000</f>
        <v>0.86618133</v>
      </c>
      <c r="M23" s="10">
        <f>(C23-Inputs!$E$7)*G23*Inputs!$E$8*Inputs!$E$5*(1-Inputs!$E$9)*D23/1000</f>
        <v>1.37372088</v>
      </c>
    </row>
    <row r="24" spans="1:13">
      <c r="A24" s="19">
        <v>46223</v>
      </c>
      <c r="B24" s="20">
        <v>4.001</v>
      </c>
      <c r="C24" s="20">
        <v>5.134</v>
      </c>
      <c r="D24" s="21">
        <v>7</v>
      </c>
      <c r="E24" s="3">
        <f>ROUNDUP(MONTH(A24)/3,0)</f>
        <v>3</v>
      </c>
      <c r="F24" s="22">
        <f>INDEX(Inputs!$B$24:$B$27,E24)</f>
        <v>8.85</v>
      </c>
      <c r="G24" s="22">
        <f>INDEX(Inputs!$C$24:$C$27,E24)</f>
        <v>3.98</v>
      </c>
      <c r="H24" s="10">
        <f>(B24-Inputs!$C$6)*F24*Inputs!$C$5*(1-Inputs!$C$9)*D24/1000</f>
        <v>2.273982543</v>
      </c>
      <c r="I24" s="10">
        <f>(B24-Inputs!$D$6)*F24*Inputs!$D$5*(1-Inputs!$D$9)*D24/1000</f>
        <v>2.7684216</v>
      </c>
      <c r="J24" s="10">
        <f>(B24-Inputs!$E$6)*F24*Inputs!$E$5*(1-Inputs!$E$9)*D24/1000</f>
        <v>2.9739717</v>
      </c>
      <c r="K24" s="10">
        <f>(C24-Inputs!$C$7)*G24*Inputs!$C$8*Inputs!$C$5*(1-Inputs!$C$9)*D24/1000</f>
        <v>0.8424091721</v>
      </c>
      <c r="L24" s="10">
        <f>(C24-Inputs!$D$7)*G24*Inputs!$D$8*Inputs!$D$5*(1-Inputs!$D$9)*D24/1000</f>
        <v>1.16280675</v>
      </c>
      <c r="M24" s="10">
        <f>(C24-Inputs!$E$7)*G24*Inputs!$E$8*Inputs!$E$5*(1-Inputs!$E$9)*D24/1000</f>
        <v>1.76922144</v>
      </c>
    </row>
    <row r="25" spans="1:13">
      <c r="A25" s="19">
        <v>46230</v>
      </c>
      <c r="B25" s="20">
        <v>4.096</v>
      </c>
      <c r="C25" s="20">
        <v>5.313</v>
      </c>
      <c r="D25" s="21">
        <v>7</v>
      </c>
      <c r="E25" s="3">
        <f>ROUNDUP(MONTH(A25)/3,0)</f>
        <v>3</v>
      </c>
      <c r="F25" s="22">
        <f>INDEX(Inputs!$B$24:$B$27,E25)</f>
        <v>8.85</v>
      </c>
      <c r="G25" s="22">
        <f>INDEX(Inputs!$C$24:$C$27,E25)</f>
        <v>3.98</v>
      </c>
      <c r="H25" s="10">
        <f>(B25-Inputs!$C$6)*F25*Inputs!$C$5*(1-Inputs!$C$9)*D25/1000</f>
        <v>2.513747628</v>
      </c>
      <c r="I25" s="10">
        <f>(B25-Inputs!$D$6)*F25*Inputs!$D$5*(1-Inputs!$D$9)*D25/1000</f>
        <v>3.0156021</v>
      </c>
      <c r="J25" s="10">
        <f>(B25-Inputs!$E$6)*F25*Inputs!$E$5*(1-Inputs!$E$9)*D25/1000</f>
        <v>3.2211522</v>
      </c>
      <c r="K25" s="10">
        <f>(C25-Inputs!$C$7)*G25*Inputs!$C$8*Inputs!$C$5*(1-Inputs!$C$9)*D25/1000</f>
        <v>0.9643099334</v>
      </c>
      <c r="L25" s="10">
        <f>(C25-Inputs!$D$7)*G25*Inputs!$D$8*Inputs!$D$5*(1-Inputs!$D$9)*D25/1000</f>
        <v>1.31989536</v>
      </c>
      <c r="M25" s="10">
        <f>(C25-Inputs!$E$7)*G25*Inputs!$E$8*Inputs!$E$5*(1-Inputs!$E$9)*D25/1000</f>
        <v>1.97867292</v>
      </c>
    </row>
    <row r="26" spans="1:13">
      <c r="A26" s="19">
        <v>46237</v>
      </c>
      <c r="B26" s="20">
        <v>4.079</v>
      </c>
      <c r="C26" s="20">
        <v>5.348</v>
      </c>
      <c r="D26" s="21">
        <v>7</v>
      </c>
      <c r="E26" s="3">
        <f>ROUNDUP(MONTH(A26)/3,0)</f>
        <v>3</v>
      </c>
      <c r="F26" s="22">
        <f>INDEX(Inputs!$B$24:$B$27,E26)</f>
        <v>8.85</v>
      </c>
      <c r="G26" s="22">
        <f>INDEX(Inputs!$C$24:$C$27,E26)</f>
        <v>3.98</v>
      </c>
      <c r="H26" s="10">
        <f>(B26-Inputs!$C$6)*F26*Inputs!$C$5*(1-Inputs!$C$9)*D26/1000</f>
        <v>2.470842297</v>
      </c>
      <c r="I26" s="10">
        <f>(B26-Inputs!$D$6)*F26*Inputs!$D$5*(1-Inputs!$D$9)*D26/1000</f>
        <v>2.9713698</v>
      </c>
      <c r="J26" s="10">
        <f>(B26-Inputs!$E$6)*F26*Inputs!$E$5*(1-Inputs!$E$9)*D26/1000</f>
        <v>3.1769199</v>
      </c>
      <c r="K26" s="10">
        <f>(C26-Inputs!$C$7)*G26*Inputs!$C$8*Inputs!$C$5*(1-Inputs!$C$9)*D26/1000</f>
        <v>0.9881452778</v>
      </c>
      <c r="L26" s="10">
        <f>(C26-Inputs!$D$7)*G26*Inputs!$D$8*Inputs!$D$5*(1-Inputs!$D$9)*D26/1000</f>
        <v>1.35061101</v>
      </c>
      <c r="M26" s="10">
        <f>(C26-Inputs!$E$7)*G26*Inputs!$E$8*Inputs!$E$5*(1-Inputs!$E$9)*D26/1000</f>
        <v>2.01962712</v>
      </c>
    </row>
    <row r="27" spans="1:13">
      <c r="A27" s="19">
        <v>46244</v>
      </c>
      <c r="B27" s="20">
        <v>4.006</v>
      </c>
      <c r="C27" s="20">
        <v>5.257</v>
      </c>
      <c r="D27" s="21">
        <v>7</v>
      </c>
      <c r="E27" s="3">
        <f>ROUNDUP(MONTH(A27)/3,0)</f>
        <v>3</v>
      </c>
      <c r="F27" s="22">
        <f>INDEX(Inputs!$B$24:$B$27,E27)</f>
        <v>8.85</v>
      </c>
      <c r="G27" s="22">
        <f>INDEX(Inputs!$C$24:$C$27,E27)</f>
        <v>3.98</v>
      </c>
      <c r="H27" s="10">
        <f>(B27-Inputs!$C$6)*F27*Inputs!$C$5*(1-Inputs!$C$9)*D27/1000</f>
        <v>2.286601758</v>
      </c>
      <c r="I27" s="10">
        <f>(B27-Inputs!$D$6)*F27*Inputs!$D$5*(1-Inputs!$D$9)*D27/1000</f>
        <v>2.7814311</v>
      </c>
      <c r="J27" s="10">
        <f>(B27-Inputs!$E$6)*F27*Inputs!$E$5*(1-Inputs!$E$9)*D27/1000</f>
        <v>2.9869812</v>
      </c>
      <c r="K27" s="10">
        <f>(C27-Inputs!$C$7)*G27*Inputs!$C$8*Inputs!$C$5*(1-Inputs!$C$9)*D27/1000</f>
        <v>0.9261733824</v>
      </c>
      <c r="L27" s="10">
        <f>(C27-Inputs!$D$7)*G27*Inputs!$D$8*Inputs!$D$5*(1-Inputs!$D$9)*D27/1000</f>
        <v>1.27075032</v>
      </c>
      <c r="M27" s="10">
        <f>(C27-Inputs!$E$7)*G27*Inputs!$E$8*Inputs!$E$5*(1-Inputs!$E$9)*D27/1000</f>
        <v>1.9131462</v>
      </c>
    </row>
    <row r="28" spans="1:13">
      <c r="A28" s="19">
        <v>46251</v>
      </c>
      <c r="B28" s="20">
        <v>4.049</v>
      </c>
      <c r="C28" s="20">
        <v>5.454</v>
      </c>
      <c r="D28" s="21">
        <v>7</v>
      </c>
      <c r="E28" s="3">
        <f>ROUNDUP(MONTH(A28)/3,0)</f>
        <v>3</v>
      </c>
      <c r="F28" s="22">
        <f>INDEX(Inputs!$B$24:$B$27,E28)</f>
        <v>8.85</v>
      </c>
      <c r="G28" s="22">
        <f>INDEX(Inputs!$C$24:$C$27,E28)</f>
        <v>3.98</v>
      </c>
      <c r="H28" s="10">
        <f>(B28-Inputs!$C$6)*F28*Inputs!$C$5*(1-Inputs!$C$9)*D28/1000</f>
        <v>2.395127007</v>
      </c>
      <c r="I28" s="10">
        <f>(B28-Inputs!$D$6)*F28*Inputs!$D$5*(1-Inputs!$D$9)*D28/1000</f>
        <v>2.8933128</v>
      </c>
      <c r="J28" s="10">
        <f>(B28-Inputs!$E$6)*F28*Inputs!$E$5*(1-Inputs!$E$9)*D28/1000</f>
        <v>3.0988629</v>
      </c>
      <c r="K28" s="10">
        <f>(C28-Inputs!$C$7)*G28*Inputs!$C$8*Inputs!$C$5*(1-Inputs!$C$9)*D28/1000</f>
        <v>1.0603323209</v>
      </c>
      <c r="L28" s="10">
        <f>(C28-Inputs!$D$7)*G28*Inputs!$D$8*Inputs!$D$5*(1-Inputs!$D$9)*D28/1000</f>
        <v>1.44363555</v>
      </c>
      <c r="M28" s="10">
        <f>(C28-Inputs!$E$7)*G28*Inputs!$E$8*Inputs!$E$5*(1-Inputs!$E$9)*D28/1000</f>
        <v>2.14365984</v>
      </c>
    </row>
    <row r="29" spans="1:13">
      <c r="A29" s="19">
        <v>46258</v>
      </c>
      <c r="B29" s="20">
        <v>4.085</v>
      </c>
      <c r="C29" s="20">
        <v>5.652</v>
      </c>
      <c r="D29" s="21">
        <v>7</v>
      </c>
      <c r="E29" s="3">
        <f>ROUNDUP(MONTH(A29)/3,0)</f>
        <v>3</v>
      </c>
      <c r="F29" s="22">
        <f>INDEX(Inputs!$B$24:$B$27,E29)</f>
        <v>8.85</v>
      </c>
      <c r="G29" s="22">
        <f>INDEX(Inputs!$C$24:$C$27,E29)</f>
        <v>3.98</v>
      </c>
      <c r="H29" s="10">
        <f>(B29-Inputs!$C$6)*F29*Inputs!$C$5*(1-Inputs!$C$9)*D29/1000</f>
        <v>2.485985355</v>
      </c>
      <c r="I29" s="10">
        <f>(B29-Inputs!$D$6)*F29*Inputs!$D$5*(1-Inputs!$D$9)*D29/1000</f>
        <v>2.9869812</v>
      </c>
      <c r="J29" s="10">
        <f>(B29-Inputs!$E$6)*F29*Inputs!$E$5*(1-Inputs!$E$9)*D29/1000</f>
        <v>3.1925313</v>
      </c>
      <c r="K29" s="10">
        <f>(C29-Inputs!$C$7)*G29*Inputs!$C$8*Inputs!$C$5*(1-Inputs!$C$9)*D29/1000</f>
        <v>1.1951722692</v>
      </c>
      <c r="L29" s="10">
        <f>(C29-Inputs!$D$7)*G29*Inputs!$D$8*Inputs!$D$5*(1-Inputs!$D$9)*D29/1000</f>
        <v>1.61739837</v>
      </c>
      <c r="M29" s="10">
        <f>(C29-Inputs!$E$7)*G29*Inputs!$E$8*Inputs!$E$5*(1-Inputs!$E$9)*D29/1000</f>
        <v>2.3753436</v>
      </c>
    </row>
    <row r="30" spans="1:13">
      <c r="A30" s="19">
        <v>46265</v>
      </c>
      <c r="B30" s="20">
        <v>4.071</v>
      </c>
      <c r="C30" s="20">
        <v>5.599</v>
      </c>
      <c r="D30" s="21">
        <v>7</v>
      </c>
      <c r="E30" s="3">
        <f>ROUNDUP(MONTH(A30)/3,0)</f>
        <v>3</v>
      </c>
      <c r="F30" s="22">
        <f>INDEX(Inputs!$B$24:$B$27,E30)</f>
        <v>8.85</v>
      </c>
      <c r="G30" s="22">
        <f>INDEX(Inputs!$C$24:$C$27,E30)</f>
        <v>3.98</v>
      </c>
      <c r="H30" s="10">
        <f>(B30-Inputs!$C$6)*F30*Inputs!$C$5*(1-Inputs!$C$9)*D30/1000</f>
        <v>2.450651553</v>
      </c>
      <c r="I30" s="10">
        <f>(B30-Inputs!$D$6)*F30*Inputs!$D$5*(1-Inputs!$D$9)*D30/1000</f>
        <v>2.9505546</v>
      </c>
      <c r="J30" s="10">
        <f>(B30-Inputs!$E$6)*F30*Inputs!$E$5*(1-Inputs!$E$9)*D30/1000</f>
        <v>3.1561047</v>
      </c>
      <c r="K30" s="10">
        <f>(C30-Inputs!$C$7)*G30*Inputs!$C$8*Inputs!$C$5*(1-Inputs!$C$9)*D30/1000</f>
        <v>1.1590787477</v>
      </c>
      <c r="L30" s="10">
        <f>(C30-Inputs!$D$7)*G30*Inputs!$D$8*Inputs!$D$5*(1-Inputs!$D$9)*D30/1000</f>
        <v>1.5708861</v>
      </c>
      <c r="M30" s="10">
        <f>(C30-Inputs!$E$7)*G30*Inputs!$E$8*Inputs!$E$5*(1-Inputs!$E$9)*D30/1000</f>
        <v>2.31332724</v>
      </c>
    </row>
    <row r="31" spans="1:13">
      <c r="A31" s="19">
        <v>46272</v>
      </c>
      <c r="B31" s="20">
        <v>4.157</v>
      </c>
      <c r="C31" s="20">
        <v>5.967</v>
      </c>
      <c r="D31" s="21">
        <v>7</v>
      </c>
      <c r="E31" s="3">
        <f>ROUNDUP(MONTH(A31)/3,0)</f>
        <v>3</v>
      </c>
      <c r="F31" s="22">
        <f>INDEX(Inputs!$B$24:$B$27,E31)</f>
        <v>8.85</v>
      </c>
      <c r="G31" s="22">
        <f>INDEX(Inputs!$C$24:$C$27,E31)</f>
        <v>3.98</v>
      </c>
      <c r="H31" s="10">
        <f>(B31-Inputs!$C$6)*F31*Inputs!$C$5*(1-Inputs!$C$9)*D31/1000</f>
        <v>2.667702051</v>
      </c>
      <c r="I31" s="10">
        <f>(B31-Inputs!$D$6)*F31*Inputs!$D$5*(1-Inputs!$D$9)*D31/1000</f>
        <v>3.174318</v>
      </c>
      <c r="J31" s="10">
        <f>(B31-Inputs!$E$6)*F31*Inputs!$E$5*(1-Inputs!$E$9)*D31/1000</f>
        <v>3.3798681</v>
      </c>
      <c r="K31" s="10">
        <f>(C31-Inputs!$C$7)*G31*Inputs!$C$8*Inputs!$C$5*(1-Inputs!$C$9)*D31/1000</f>
        <v>1.4096903688</v>
      </c>
      <c r="L31" s="10">
        <f>(C31-Inputs!$D$7)*G31*Inputs!$D$8*Inputs!$D$5*(1-Inputs!$D$9)*D31/1000</f>
        <v>1.89383922</v>
      </c>
      <c r="M31" s="10">
        <f>(C31-Inputs!$E$7)*G31*Inputs!$E$8*Inputs!$E$5*(1-Inputs!$E$9)*D31/1000</f>
        <v>2.7439314</v>
      </c>
    </row>
    <row r="32" spans="1:13">
      <c r="A32" s="19">
        <v>46279</v>
      </c>
      <c r="B32" s="20">
        <v>4.319</v>
      </c>
      <c r="C32" s="20">
        <v>6.285</v>
      </c>
      <c r="D32" s="21">
        <v>7</v>
      </c>
      <c r="E32" s="3">
        <f>ROUNDUP(MONTH(A32)/3,0)</f>
        <v>3</v>
      </c>
      <c r="F32" s="22">
        <f>INDEX(Inputs!$B$24:$B$27,E32)</f>
        <v>8.85</v>
      </c>
      <c r="G32" s="22">
        <f>INDEX(Inputs!$C$24:$C$27,E32)</f>
        <v>3.98</v>
      </c>
      <c r="H32" s="10">
        <f>(B32-Inputs!$C$6)*F32*Inputs!$C$5*(1-Inputs!$C$9)*D32/1000</f>
        <v>3.076564617</v>
      </c>
      <c r="I32" s="10">
        <f>(B32-Inputs!$D$6)*F32*Inputs!$D$5*(1-Inputs!$D$9)*D32/1000</f>
        <v>3.5958258</v>
      </c>
      <c r="J32" s="10">
        <f>(B32-Inputs!$E$6)*F32*Inputs!$E$5*(1-Inputs!$E$9)*D32/1000</f>
        <v>3.8013759</v>
      </c>
      <c r="K32" s="10">
        <f>(C32-Inputs!$C$7)*G32*Inputs!$C$8*Inputs!$C$5*(1-Inputs!$C$9)*D32/1000</f>
        <v>1.6262514979</v>
      </c>
      <c r="L32" s="10">
        <f>(C32-Inputs!$D$7)*G32*Inputs!$D$8*Inputs!$D$5*(1-Inputs!$D$9)*D32/1000</f>
        <v>2.17291284</v>
      </c>
      <c r="M32" s="10">
        <f>(C32-Inputs!$E$7)*G32*Inputs!$E$8*Inputs!$E$5*(1-Inputs!$E$9)*D32/1000</f>
        <v>3.11602956</v>
      </c>
    </row>
    <row r="33" spans="1:13">
      <c r="A33" s="19">
        <v>46286</v>
      </c>
      <c r="B33" s="20">
        <v>4.478</v>
      </c>
      <c r="C33" s="20">
        <v>6.529</v>
      </c>
      <c r="D33" s="21">
        <v>7</v>
      </c>
      <c r="E33" s="3">
        <f>ROUNDUP(MONTH(A33)/3,0)</f>
        <v>3</v>
      </c>
      <c r="F33" s="22">
        <f>INDEX(Inputs!$B$24:$B$27,E33)</f>
        <v>8.85</v>
      </c>
      <c r="G33" s="22">
        <f>INDEX(Inputs!$C$24:$C$27,E33)</f>
        <v>3.98</v>
      </c>
      <c r="H33" s="10">
        <f>(B33-Inputs!$C$6)*F33*Inputs!$C$5*(1-Inputs!$C$9)*D33/1000</f>
        <v>3.477855654</v>
      </c>
      <c r="I33" s="10">
        <f>(B33-Inputs!$D$6)*F33*Inputs!$D$5*(1-Inputs!$D$9)*D33/1000</f>
        <v>4.0095279</v>
      </c>
      <c r="J33" s="10">
        <f>(B33-Inputs!$E$6)*F33*Inputs!$E$5*(1-Inputs!$E$9)*D33/1000</f>
        <v>4.215078</v>
      </c>
      <c r="K33" s="10">
        <f>(C33-Inputs!$C$7)*G33*Inputs!$C$8*Inputs!$C$5*(1-Inputs!$C$9)*D33/1000</f>
        <v>1.7924178989</v>
      </c>
      <c r="L33" s="10">
        <f>(C33-Inputs!$D$7)*G33*Inputs!$D$8*Inputs!$D$5*(1-Inputs!$D$9)*D33/1000</f>
        <v>2.3870448</v>
      </c>
      <c r="M33" s="10">
        <f>(C33-Inputs!$E$7)*G33*Inputs!$E$8*Inputs!$E$5*(1-Inputs!$E$9)*D33/1000</f>
        <v>3.40153884</v>
      </c>
    </row>
    <row r="34" spans="1:13">
      <c r="A34" s="19">
        <v>46293</v>
      </c>
      <c r="B34" s="20">
        <v>4.465</v>
      </c>
      <c r="C34" s="20">
        <v>6.382</v>
      </c>
      <c r="D34" s="21">
        <v>7</v>
      </c>
      <c r="E34" s="3">
        <f>ROUNDUP(MONTH(A34)/3,0)</f>
        <v>3</v>
      </c>
      <c r="F34" s="22">
        <f>INDEX(Inputs!$B$24:$B$27,E34)</f>
        <v>8.85</v>
      </c>
      <c r="G34" s="22">
        <f>INDEX(Inputs!$C$24:$C$27,E34)</f>
        <v>3.98</v>
      </c>
      <c r="H34" s="10">
        <f>(B34-Inputs!$C$6)*F34*Inputs!$C$5*(1-Inputs!$C$9)*D34/1000</f>
        <v>3.445045695</v>
      </c>
      <c r="I34" s="10">
        <f>(B34-Inputs!$D$6)*F34*Inputs!$D$5*(1-Inputs!$D$9)*D34/1000</f>
        <v>3.9757032</v>
      </c>
      <c r="J34" s="10">
        <f>(B34-Inputs!$E$6)*F34*Inputs!$E$5*(1-Inputs!$E$9)*D34/1000</f>
        <v>4.1812533</v>
      </c>
      <c r="K34" s="10">
        <f>(C34-Inputs!$C$7)*G34*Inputs!$C$8*Inputs!$C$5*(1-Inputs!$C$9)*D34/1000</f>
        <v>1.6923094524</v>
      </c>
      <c r="L34" s="10">
        <f>(C34-Inputs!$D$7)*G34*Inputs!$D$8*Inputs!$D$5*(1-Inputs!$D$9)*D34/1000</f>
        <v>2.25803907</v>
      </c>
      <c r="M34" s="10">
        <f>(C34-Inputs!$E$7)*G34*Inputs!$E$8*Inputs!$E$5*(1-Inputs!$E$9)*D34/1000</f>
        <v>3.2295312</v>
      </c>
    </row>
    <row r="35" spans="1:13">
      <c r="A35" s="19">
        <v>46300</v>
      </c>
      <c r="B35" s="20">
        <v>4.354</v>
      </c>
      <c r="C35" s="20">
        <v>6.199</v>
      </c>
      <c r="D35" s="21">
        <v>7</v>
      </c>
      <c r="E35" s="3">
        <f>ROUNDUP(MONTH(A35)/3,0)</f>
        <v>4</v>
      </c>
      <c r="F35" s="22">
        <f>INDEX(Inputs!$B$24:$B$27,E35)</f>
        <v>8.66</v>
      </c>
      <c r="G35" s="22">
        <f>INDEX(Inputs!$C$24:$C$27,E35)</f>
        <v>4.16</v>
      </c>
      <c r="H35" s="10">
        <f>(B35-Inputs!$C$6)*F35*Inputs!$C$5*(1-Inputs!$C$9)*D35/1000</f>
        <v>3.0969521352</v>
      </c>
      <c r="I35" s="10">
        <f>(B35-Inputs!$D$6)*F35*Inputs!$D$5*(1-Inputs!$D$9)*D35/1000</f>
        <v>3.60773868</v>
      </c>
      <c r="J35" s="10">
        <f>(B35-Inputs!$E$6)*F35*Inputs!$E$5*(1-Inputs!$E$9)*D35/1000</f>
        <v>3.80887584</v>
      </c>
      <c r="K35" s="10">
        <f>(C35-Inputs!$C$7)*G35*Inputs!$C$8*Inputs!$C$5*(1-Inputs!$C$9)*D35/1000</f>
        <v>1.6385849626</v>
      </c>
      <c r="L35" s="10">
        <f>(C35-Inputs!$D$7)*G35*Inputs!$D$8*Inputs!$D$5*(1-Inputs!$D$9)*D35/1000</f>
        <v>2.1922992</v>
      </c>
      <c r="M35" s="10">
        <f>(C35-Inputs!$E$7)*G35*Inputs!$E$8*Inputs!$E$5*(1-Inputs!$E$9)*D35/1000</f>
        <v>3.15177408</v>
      </c>
    </row>
    <row r="36" spans="1:13">
      <c r="A36" s="19">
        <v>46307</v>
      </c>
      <c r="B36" s="20">
        <v>4.331</v>
      </c>
      <c r="C36" s="20">
        <v>6.179</v>
      </c>
      <c r="D36" s="21">
        <v>7</v>
      </c>
      <c r="E36" s="3">
        <f>ROUNDUP(MONTH(A36)/3,0)</f>
        <v>4</v>
      </c>
      <c r="F36" s="22">
        <f>INDEX(Inputs!$B$24:$B$27,E36)</f>
        <v>8.66</v>
      </c>
      <c r="G36" s="22">
        <f>INDEX(Inputs!$C$24:$C$27,E36)</f>
        <v>4.16</v>
      </c>
      <c r="H36" s="10">
        <f>(B36-Inputs!$C$6)*F36*Inputs!$C$5*(1-Inputs!$C$9)*D36/1000</f>
        <v>3.0401499828</v>
      </c>
      <c r="I36" s="10">
        <f>(B36-Inputs!$D$6)*F36*Inputs!$D$5*(1-Inputs!$D$9)*D36/1000</f>
        <v>3.54917976</v>
      </c>
      <c r="J36" s="10">
        <f>(B36-Inputs!$E$6)*F36*Inputs!$E$5*(1-Inputs!$E$9)*D36/1000</f>
        <v>3.75031692</v>
      </c>
      <c r="K36" s="10">
        <f>(C36-Inputs!$C$7)*G36*Inputs!$C$8*Inputs!$C$5*(1-Inputs!$C$9)*D36/1000</f>
        <v>1.624348777</v>
      </c>
      <c r="L36" s="10">
        <f>(C36-Inputs!$D$7)*G36*Inputs!$D$8*Inputs!$D$5*(1-Inputs!$D$9)*D36/1000</f>
        <v>2.1739536</v>
      </c>
      <c r="M36" s="10">
        <f>(C36-Inputs!$E$7)*G36*Inputs!$E$8*Inputs!$E$5*(1-Inputs!$E$9)*D36/1000</f>
        <v>3.12731328</v>
      </c>
    </row>
    <row r="37" spans="1:13">
      <c r="A37" s="19">
        <v>46314</v>
      </c>
      <c r="B37" s="20">
        <v>4.284</v>
      </c>
      <c r="C37" s="20">
        <v>6.276</v>
      </c>
      <c r="D37" s="21">
        <v>7</v>
      </c>
      <c r="E37" s="3">
        <f>ROUNDUP(MONTH(A37)/3,0)</f>
        <v>4</v>
      </c>
      <c r="F37" s="22">
        <f>INDEX(Inputs!$B$24:$B$27,E37)</f>
        <v>8.66</v>
      </c>
      <c r="G37" s="22">
        <f>INDEX(Inputs!$C$24:$C$27,E37)</f>
        <v>4.16</v>
      </c>
      <c r="H37" s="10">
        <f>(B37-Inputs!$C$6)*F37*Inputs!$C$5*(1-Inputs!$C$9)*D37/1000</f>
        <v>2.9240760192</v>
      </c>
      <c r="I37" s="10">
        <f>(B37-Inputs!$D$6)*F37*Inputs!$D$5*(1-Inputs!$D$9)*D37/1000</f>
        <v>3.42951588</v>
      </c>
      <c r="J37" s="10">
        <f>(B37-Inputs!$E$6)*F37*Inputs!$E$5*(1-Inputs!$E$9)*D37/1000</f>
        <v>3.63065304</v>
      </c>
      <c r="K37" s="10">
        <f>(C37-Inputs!$C$7)*G37*Inputs!$C$8*Inputs!$C$5*(1-Inputs!$C$9)*D37/1000</f>
        <v>1.6933942771</v>
      </c>
      <c r="L37" s="10">
        <f>(C37-Inputs!$D$7)*G37*Inputs!$D$8*Inputs!$D$5*(1-Inputs!$D$9)*D37/1000</f>
        <v>2.26292976</v>
      </c>
      <c r="M37" s="10">
        <f>(C37-Inputs!$E$7)*G37*Inputs!$E$8*Inputs!$E$5*(1-Inputs!$E$9)*D37/1000</f>
        <v>3.24594816</v>
      </c>
    </row>
    <row r="38" spans="1:13">
      <c r="A38" s="19">
        <v>46321</v>
      </c>
      <c r="B38" s="20">
        <v>4.269</v>
      </c>
      <c r="C38" s="20">
        <v>6.352</v>
      </c>
      <c r="D38" s="21">
        <v>7</v>
      </c>
      <c r="E38" s="3">
        <f>ROUNDUP(MONTH(A38)/3,0)</f>
        <v>4</v>
      </c>
      <c r="F38" s="22">
        <f>INDEX(Inputs!$B$24:$B$27,E38)</f>
        <v>8.66</v>
      </c>
      <c r="G38" s="22">
        <f>INDEX(Inputs!$C$24:$C$27,E38)</f>
        <v>4.16</v>
      </c>
      <c r="H38" s="10">
        <f>(B38-Inputs!$C$6)*F38*Inputs!$C$5*(1-Inputs!$C$9)*D38/1000</f>
        <v>2.8870311372</v>
      </c>
      <c r="I38" s="10">
        <f>(B38-Inputs!$D$6)*F38*Inputs!$D$5*(1-Inputs!$D$9)*D38/1000</f>
        <v>3.39132528</v>
      </c>
      <c r="J38" s="10">
        <f>(B38-Inputs!$E$6)*F38*Inputs!$E$5*(1-Inputs!$E$9)*D38/1000</f>
        <v>3.59246244</v>
      </c>
      <c r="K38" s="10">
        <f>(C38-Inputs!$C$7)*G38*Inputs!$C$8*Inputs!$C$5*(1-Inputs!$C$9)*D38/1000</f>
        <v>1.7474917824</v>
      </c>
      <c r="L38" s="10">
        <f>(C38-Inputs!$D$7)*G38*Inputs!$D$8*Inputs!$D$5*(1-Inputs!$D$9)*D38/1000</f>
        <v>2.33264304</v>
      </c>
      <c r="M38" s="10">
        <f>(C38-Inputs!$E$7)*G38*Inputs!$E$8*Inputs!$E$5*(1-Inputs!$E$9)*D38/1000</f>
        <v>3.3388992</v>
      </c>
    </row>
    <row r="39" spans="1:13">
      <c r="A39" s="4" t="s">
        <v>159</v>
      </c>
      <c r="D39" s="4">
        <f>SUM(D4:D38)</f>
        <v>241</v>
      </c>
      <c r="H39" s="7">
        <f>SUM(H4:H38)</f>
        <v>88.0260249792</v>
      </c>
      <c r="I39" s="7">
        <f>SUM(I4:I38)</f>
        <v>105.28527576</v>
      </c>
      <c r="J39" s="7">
        <f>SUM(J4:J38)</f>
        <v>112.33071696</v>
      </c>
      <c r="K39" s="7">
        <f>SUM(K4:K38)</f>
        <v>38.0730340393</v>
      </c>
      <c r="L39" s="7">
        <f>SUM(L4:L38)</f>
        <v>51.764197275</v>
      </c>
      <c r="M39" s="7">
        <f>SUM(M4:M38)</f>
        <v>76.67178876</v>
      </c>
    </row>
    <row r="41" spans="1:13">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9"/>
  <sheetViews>
    <sheetView workbookViewId="0"/>
  </sheetViews>
  <sheetFormatPr defaultRowHeight="15"/>
  <cols>
    <col min="1" max="1" width="5.7109375" customWidth="1"/>
    <col min="2" max="2" width="80.7109375" customWidth="1"/>
    <col min="3" max="3" width="70.7109375" customWidth="1"/>
    <col min="4" max="4" width="14.7109375" customWidth="1"/>
    <col min="5" max="5" width="70.7109375" customWidth="1"/>
  </cols>
  <sheetData>
    <row r="1" spans="1:5">
      <c r="A1" s="5" t="s">
        <v>161</v>
      </c>
      <c r="B1" s="5" t="s">
        <v>74</v>
      </c>
      <c r="C1" s="5" t="s">
        <v>162</v>
      </c>
      <c r="D1" s="5" t="s">
        <v>163</v>
      </c>
      <c r="E1" s="5" t="s">
        <v>164</v>
      </c>
    </row>
    <row r="2" spans="1:5">
      <c r="A2" s="3">
        <v>1</v>
      </c>
      <c r="B2" s="2" t="s">
        <v>165</v>
      </c>
      <c r="C2" s="23" t="s">
        <v>166</v>
      </c>
      <c r="D2" t="s">
        <v>167</v>
      </c>
      <c r="E2" s="2" t="s">
        <v>168</v>
      </c>
    </row>
    <row r="3" spans="1:5">
      <c r="A3" s="3">
        <v>2</v>
      </c>
      <c r="B3" s="2" t="s">
        <v>169</v>
      </c>
      <c r="C3" s="23" t="s">
        <v>170</v>
      </c>
      <c r="D3" t="s">
        <v>171</v>
      </c>
      <c r="E3" s="2" t="s">
        <v>172</v>
      </c>
    </row>
    <row r="4" spans="1:5">
      <c r="A4" s="3">
        <v>3</v>
      </c>
      <c r="B4" s="2" t="s">
        <v>173</v>
      </c>
      <c r="C4" s="23" t="s">
        <v>174</v>
      </c>
      <c r="D4" t="s">
        <v>171</v>
      </c>
      <c r="E4" s="2" t="s">
        <v>175</v>
      </c>
    </row>
    <row r="5" spans="1:5">
      <c r="A5" s="3">
        <v>4</v>
      </c>
      <c r="B5" s="2" t="s">
        <v>176</v>
      </c>
      <c r="C5" s="23" t="s">
        <v>177</v>
      </c>
      <c r="D5" t="s">
        <v>167</v>
      </c>
      <c r="E5" s="2" t="s">
        <v>178</v>
      </c>
    </row>
    <row r="6" spans="1:5">
      <c r="A6" s="3">
        <v>5</v>
      </c>
      <c r="B6" s="2" t="s">
        <v>179</v>
      </c>
      <c r="C6" s="23" t="s">
        <v>180</v>
      </c>
      <c r="D6" t="s">
        <v>171</v>
      </c>
      <c r="E6" s="2" t="s">
        <v>181</v>
      </c>
    </row>
    <row r="7" spans="1:5">
      <c r="A7" s="3">
        <v>6</v>
      </c>
      <c r="B7" s="2" t="s">
        <v>182</v>
      </c>
      <c r="C7" s="23" t="s">
        <v>183</v>
      </c>
      <c r="D7" t="s">
        <v>171</v>
      </c>
      <c r="E7" s="2" t="s">
        <v>184</v>
      </c>
    </row>
    <row r="8" spans="1:5">
      <c r="A8" s="3">
        <v>7</v>
      </c>
      <c r="B8" s="2" t="s">
        <v>185</v>
      </c>
      <c r="C8" s="23" t="s">
        <v>186</v>
      </c>
      <c r="D8" t="s">
        <v>167</v>
      </c>
      <c r="E8" s="2" t="s">
        <v>187</v>
      </c>
    </row>
    <row r="9" spans="1:5">
      <c r="A9" s="3">
        <v>8</v>
      </c>
      <c r="B9" s="2" t="s">
        <v>188</v>
      </c>
      <c r="C9" s="23" t="s">
        <v>189</v>
      </c>
      <c r="D9" t="s">
        <v>167</v>
      </c>
      <c r="E9" s="2" t="s">
        <v>190</v>
      </c>
    </row>
    <row r="10" spans="1:5">
      <c r="A10" s="3">
        <v>9</v>
      </c>
      <c r="B10" s="2" t="s">
        <v>191</v>
      </c>
      <c r="C10" s="23" t="s">
        <v>192</v>
      </c>
      <c r="D10" t="s">
        <v>167</v>
      </c>
      <c r="E10" s="2" t="s">
        <v>193</v>
      </c>
    </row>
    <row r="11" spans="1:5">
      <c r="A11" s="3">
        <v>10</v>
      </c>
      <c r="B11" s="2" t="s">
        <v>194</v>
      </c>
      <c r="C11" s="23" t="s">
        <v>195</v>
      </c>
      <c r="D11" t="s">
        <v>167</v>
      </c>
      <c r="E11" s="2" t="s">
        <v>196</v>
      </c>
    </row>
    <row r="12" spans="1:5">
      <c r="A12" s="3">
        <v>11</v>
      </c>
      <c r="B12" s="2" t="s">
        <v>197</v>
      </c>
      <c r="C12" s="23" t="s">
        <v>198</v>
      </c>
      <c r="D12" t="s">
        <v>171</v>
      </c>
      <c r="E12" s="2" t="s">
        <v>199</v>
      </c>
    </row>
    <row r="13" spans="1:5">
      <c r="A13" s="3">
        <v>12</v>
      </c>
      <c r="B13" s="2" t="s">
        <v>200</v>
      </c>
      <c r="C13" s="23" t="s">
        <v>201</v>
      </c>
      <c r="D13" t="s">
        <v>167</v>
      </c>
      <c r="E13" s="2" t="s">
        <v>202</v>
      </c>
    </row>
    <row r="14" spans="1:5">
      <c r="A14" s="3">
        <v>13</v>
      </c>
      <c r="B14" s="2" t="s">
        <v>203</v>
      </c>
      <c r="C14" s="23" t="s">
        <v>204</v>
      </c>
      <c r="D14" t="s">
        <v>167</v>
      </c>
      <c r="E14" s="2" t="s">
        <v>205</v>
      </c>
    </row>
    <row r="15" spans="1:5">
      <c r="A15" s="3">
        <v>14</v>
      </c>
      <c r="B15" s="2" t="s">
        <v>206</v>
      </c>
      <c r="C15" s="23" t="s">
        <v>207</v>
      </c>
      <c r="D15" t="s">
        <v>167</v>
      </c>
      <c r="E15" s="2" t="s">
        <v>208</v>
      </c>
    </row>
    <row r="16" spans="1:5">
      <c r="A16" s="3">
        <v>15</v>
      </c>
      <c r="B16" s="2" t="s">
        <v>209</v>
      </c>
      <c r="C16" s="23" t="s">
        <v>210</v>
      </c>
      <c r="D16" t="s">
        <v>167</v>
      </c>
      <c r="E16" s="2" t="s">
        <v>211</v>
      </c>
    </row>
    <row r="17" spans="1:5">
      <c r="A17" s="3">
        <v>16</v>
      </c>
      <c r="B17" s="2" t="s">
        <v>212</v>
      </c>
      <c r="C17" s="23" t="s">
        <v>213</v>
      </c>
      <c r="D17" t="s">
        <v>167</v>
      </c>
      <c r="E17" s="2" t="s">
        <v>214</v>
      </c>
    </row>
    <row r="18" spans="1:5">
      <c r="A18" s="3">
        <v>17</v>
      </c>
      <c r="B18" s="2" t="s">
        <v>215</v>
      </c>
      <c r="C18" s="23" t="s">
        <v>216</v>
      </c>
      <c r="D18" t="s">
        <v>171</v>
      </c>
      <c r="E18" s="2" t="s">
        <v>217</v>
      </c>
    </row>
    <row r="19" spans="1:5">
      <c r="A19" s="3">
        <v>18</v>
      </c>
      <c r="B19" s="2" t="s">
        <v>218</v>
      </c>
      <c r="C19" s="23" t="s">
        <v>219</v>
      </c>
      <c r="D19" t="s">
        <v>171</v>
      </c>
      <c r="E19" s="2" t="s">
        <v>220</v>
      </c>
    </row>
    <row r="20" spans="1:5">
      <c r="A20" s="3">
        <v>19</v>
      </c>
      <c r="B20" s="2" t="s">
        <v>221</v>
      </c>
      <c r="C20" s="23" t="s">
        <v>222</v>
      </c>
      <c r="D20" t="s">
        <v>167</v>
      </c>
      <c r="E20" s="2" t="s">
        <v>223</v>
      </c>
    </row>
    <row r="21" spans="1:5">
      <c r="A21" s="3">
        <v>20</v>
      </c>
      <c r="B21" s="2" t="s">
        <v>224</v>
      </c>
      <c r="C21" s="23" t="s">
        <v>225</v>
      </c>
      <c r="D21" t="s">
        <v>171</v>
      </c>
      <c r="E21" s="2" t="s">
        <v>226</v>
      </c>
    </row>
    <row r="22" spans="1:5">
      <c r="A22" s="3">
        <v>21</v>
      </c>
      <c r="B22" s="2" t="s">
        <v>227</v>
      </c>
      <c r="C22" s="23" t="s">
        <v>228</v>
      </c>
      <c r="D22" t="s">
        <v>167</v>
      </c>
      <c r="E22" s="2" t="s">
        <v>229</v>
      </c>
    </row>
    <row r="23" spans="1:5">
      <c r="A23" s="3">
        <v>22</v>
      </c>
      <c r="B23" s="2" t="s">
        <v>230</v>
      </c>
      <c r="C23" s="23" t="s">
        <v>231</v>
      </c>
      <c r="D23" t="s">
        <v>167</v>
      </c>
      <c r="E23" s="2" t="s">
        <v>232</v>
      </c>
    </row>
    <row r="24" spans="1:5">
      <c r="A24" s="3">
        <v>23</v>
      </c>
      <c r="B24" s="2" t="s">
        <v>233</v>
      </c>
      <c r="C24" s="23" t="s">
        <v>234</v>
      </c>
      <c r="D24" t="s">
        <v>167</v>
      </c>
      <c r="E24" s="2" t="s">
        <v>235</v>
      </c>
    </row>
    <row r="25" spans="1:5">
      <c r="A25" s="3">
        <v>24</v>
      </c>
      <c r="B25" s="2" t="s">
        <v>236</v>
      </c>
      <c r="C25" s="23" t="s">
        <v>237</v>
      </c>
      <c r="D25" t="s">
        <v>167</v>
      </c>
      <c r="E25" s="2" t="s">
        <v>238</v>
      </c>
    </row>
    <row r="26" spans="1:5">
      <c r="A26" s="3">
        <v>25</v>
      </c>
      <c r="B26" s="2" t="s">
        <v>239</v>
      </c>
      <c r="C26" s="23" t="s">
        <v>240</v>
      </c>
      <c r="D26" t="s">
        <v>171</v>
      </c>
      <c r="E26" s="2" t="s">
        <v>241</v>
      </c>
    </row>
    <row r="27" spans="1:5">
      <c r="A27" s="3">
        <v>26</v>
      </c>
      <c r="B27" s="2" t="s">
        <v>242</v>
      </c>
      <c r="C27" s="23" t="s">
        <v>243</v>
      </c>
      <c r="D27" t="s">
        <v>171</v>
      </c>
      <c r="E27" s="2" t="s">
        <v>244</v>
      </c>
    </row>
    <row r="28" spans="1:5">
      <c r="A28" s="3">
        <v>27</v>
      </c>
      <c r="B28" s="2" t="s">
        <v>245</v>
      </c>
      <c r="C28" s="23" t="s">
        <v>246</v>
      </c>
      <c r="D28" t="s">
        <v>167</v>
      </c>
      <c r="E28" s="2" t="s">
        <v>247</v>
      </c>
    </row>
    <row r="29" spans="1:5">
      <c r="A29" s="3">
        <v>28</v>
      </c>
      <c r="B29" s="2" t="s">
        <v>248</v>
      </c>
      <c r="C29" s="23" t="s">
        <v>249</v>
      </c>
      <c r="D29" t="s">
        <v>167</v>
      </c>
      <c r="E29" s="2" t="s">
        <v>250</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Bill</vt:lpstr>
      <vt:lpstr>Inputs</vt:lpstr>
      <vt:lpstr>Fuel</vt:lpstr>
      <vt:lpstr>Sources</vt:lpstr>
    </vt:vector>
  </TitlesOfParts>
  <Company>The Bigger Board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Receipt: Iran war bill for the United States (v2)</dc:title>
  <dc:creator>The Bigger Board</dc:creator>
  <dc:description>Data as of October 30, 2026.</dc:description>
  <cp:lastModifiedBy>The Bigger Board</cp:lastModifiedBy>
  <dcterms:created xsi:type="dcterms:W3CDTF">2026-11-01T10:05:25Z</dcterms:created>
  <dcterms:modified xsi:type="dcterms:W3CDTF">2026-11-01T10:05:25Z</dcterms:modified>
</cp:coreProperties>
</file>